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055" windowHeight="6345" activeTab="0"/>
  </bookViews>
  <sheets>
    <sheet name="Soil summary" sheetId="1" r:id="rId1"/>
    <sheet name="Upper soil" sheetId="2" r:id="rId2"/>
    <sheet name="Lower soil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<sst xmlns="http://schemas.openxmlformats.org/spreadsheetml/2006/main" count="477" uniqueCount="153">
  <si>
    <t xml:space="preserve">  0-20</t>
  </si>
  <si>
    <t>Weight of Fine Soil (Mg ha–¹)</t>
  </si>
  <si>
    <t>Average</t>
  </si>
  <si>
    <t>0-135</t>
  </si>
  <si>
    <t>20-135</t>
  </si>
  <si>
    <t>Depth zones</t>
  </si>
  <si>
    <t>Checked 2-26-01 BTB</t>
  </si>
  <si>
    <t>0.5 95%CI</t>
  </si>
  <si>
    <t>AVG</t>
  </si>
  <si>
    <t>Confidence interval</t>
  </si>
  <si>
    <t>Graph position (yrs)</t>
  </si>
  <si>
    <r>
      <t>ALDER t</t>
    </r>
    <r>
      <rPr>
        <vertAlign val="subscript"/>
        <sz val="8"/>
        <rFont val="Arial"/>
        <family val="2"/>
      </rPr>
      <t>0</t>
    </r>
  </si>
  <si>
    <r>
      <t>ALDER t</t>
    </r>
    <r>
      <rPr>
        <vertAlign val="subscript"/>
        <sz val="8"/>
        <rFont val="Arial"/>
        <family val="2"/>
      </rPr>
      <t>1</t>
    </r>
  </si>
  <si>
    <r>
      <t>PITCH t</t>
    </r>
    <r>
      <rPr>
        <vertAlign val="subscript"/>
        <sz val="8"/>
        <rFont val="Arial"/>
        <family val="2"/>
      </rPr>
      <t>0</t>
    </r>
  </si>
  <si>
    <r>
      <t>RED t</t>
    </r>
    <r>
      <rPr>
        <vertAlign val="subscript"/>
        <sz val="8"/>
        <rFont val="Arial"/>
        <family val="2"/>
      </rPr>
      <t>0</t>
    </r>
  </si>
  <si>
    <r>
      <t>No veg t</t>
    </r>
    <r>
      <rPr>
        <vertAlign val="subscript"/>
        <sz val="8"/>
        <rFont val="Arial"/>
        <family val="2"/>
      </rPr>
      <t>0</t>
    </r>
  </si>
  <si>
    <r>
      <t>PITCH t</t>
    </r>
    <r>
      <rPr>
        <vertAlign val="subscript"/>
        <sz val="8"/>
        <rFont val="Arial"/>
        <family val="2"/>
      </rPr>
      <t>1</t>
    </r>
  </si>
  <si>
    <r>
      <t>No veg t</t>
    </r>
    <r>
      <rPr>
        <vertAlign val="subscript"/>
        <sz val="8"/>
        <rFont val="Arial"/>
        <family val="2"/>
      </rPr>
      <t>1</t>
    </r>
  </si>
  <si>
    <r>
      <t>RED t</t>
    </r>
    <r>
      <rPr>
        <vertAlign val="subscript"/>
        <sz val="8"/>
        <rFont val="Arial"/>
        <family val="2"/>
      </rPr>
      <t>1</t>
    </r>
  </si>
  <si>
    <t>95%CI</t>
  </si>
  <si>
    <t>N</t>
  </si>
  <si>
    <r>
      <t>g 100g</t>
    </r>
    <r>
      <rPr>
        <b/>
        <vertAlign val="superscript"/>
        <sz val="10"/>
        <rFont val="Arial"/>
        <family val="2"/>
      </rPr>
      <t>-1</t>
    </r>
  </si>
  <si>
    <t>STDEV</t>
  </si>
  <si>
    <t>Graph data</t>
  </si>
  <si>
    <t>Years</t>
  </si>
  <si>
    <t>Change in N in soils of the sandbox are calculated here using a fixed-mass method.</t>
  </si>
  <si>
    <t>20-30</t>
  </si>
  <si>
    <t>30-40</t>
  </si>
  <si>
    <t>40-60</t>
  </si>
  <si>
    <t>60-80</t>
  </si>
  <si>
    <t>80-135</t>
  </si>
  <si>
    <r>
      <t>Grab t</t>
    </r>
    <r>
      <rPr>
        <vertAlign val="subscript"/>
        <sz val="8"/>
        <rFont val="Arial"/>
        <family val="2"/>
      </rPr>
      <t>0</t>
    </r>
  </si>
  <si>
    <t>Averages by depth</t>
  </si>
  <si>
    <t>Represents 5-135 cm before topsoil was added</t>
  </si>
  <si>
    <t>30-135</t>
  </si>
  <si>
    <t>Data from Upper and Lower soil sheets</t>
  </si>
  <si>
    <r>
      <t>Locust</t>
    </r>
  </si>
  <si>
    <t>No veg</t>
  </si>
  <si>
    <r>
      <t xml:space="preserve"> t</t>
    </r>
    <r>
      <rPr>
        <vertAlign val="subscript"/>
        <sz val="10"/>
        <rFont val="Arial"/>
        <family val="2"/>
      </rPr>
      <t>1</t>
    </r>
  </si>
  <si>
    <r>
      <t xml:space="preserve"> t</t>
    </r>
    <r>
      <rPr>
        <vertAlign val="subscript"/>
        <sz val="10"/>
        <rFont val="Arial"/>
        <family val="2"/>
      </rPr>
      <t>0</t>
    </r>
  </si>
  <si>
    <t>Upper (0-20 cm)</t>
  </si>
  <si>
    <t>Difference</t>
  </si>
  <si>
    <r>
      <t>p (t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&gt;0)</t>
    </r>
  </si>
  <si>
    <t>Diff</t>
  </si>
  <si>
    <t>Pooled</t>
  </si>
  <si>
    <t>T stat</t>
  </si>
  <si>
    <t>P value</t>
  </si>
  <si>
    <t>T value</t>
  </si>
  <si>
    <t>Test data</t>
  </si>
  <si>
    <t>avg</t>
  </si>
  <si>
    <t>stdev</t>
  </si>
  <si>
    <t>s</t>
  </si>
  <si>
    <t>&lt;0.005</t>
  </si>
  <si>
    <t>~0.14</t>
  </si>
  <si>
    <t>&gt;0.50</t>
  </si>
  <si>
    <t>Formula check</t>
  </si>
  <si>
    <t>p.223 Mendenhall</t>
  </si>
  <si>
    <t>Data by sandbox</t>
  </si>
  <si>
    <t xml:space="preserve">the 4-5 years that elapsed between samplings.  The mass of the final sampling is used </t>
  </si>
  <si>
    <t>because it was sampled more completely with large 0.5- by 0.5-m sampler to 30 cm.</t>
  </si>
  <si>
    <t>These averages are used below</t>
  </si>
  <si>
    <t>NOTES</t>
  </si>
  <si>
    <t>~0.04</t>
  </si>
  <si>
    <t>sum sqs</t>
  </si>
  <si>
    <t>Deviations</t>
  </si>
  <si>
    <t>(proportional volume basis)</t>
  </si>
  <si>
    <t>Lower (20-135 cm)</t>
  </si>
  <si>
    <t>Summary (see formula check below)</t>
  </si>
  <si>
    <t>Summary (see formula check on Upper-soil sheet and weighting formula below)</t>
  </si>
  <si>
    <t>&lt;0.001</t>
  </si>
  <si>
    <t>T-test (alpha=0.05)</t>
  </si>
  <si>
    <r>
      <t>ALDER t</t>
    </r>
    <r>
      <rPr>
        <b/>
        <vertAlign val="subscript"/>
        <sz val="8"/>
        <rFont val="Arial"/>
        <family val="2"/>
      </rPr>
      <t>0</t>
    </r>
  </si>
  <si>
    <r>
      <t>ALDER t</t>
    </r>
    <r>
      <rPr>
        <b/>
        <vertAlign val="subscript"/>
        <sz val="8"/>
        <rFont val="Arial"/>
        <family val="2"/>
      </rPr>
      <t>1</t>
    </r>
  </si>
  <si>
    <r>
      <t>Locust t</t>
    </r>
    <r>
      <rPr>
        <b/>
        <vertAlign val="subscript"/>
        <sz val="8"/>
        <rFont val="Arial"/>
        <family val="2"/>
      </rPr>
      <t>0</t>
    </r>
  </si>
  <si>
    <r>
      <t>Locust t</t>
    </r>
    <r>
      <rPr>
        <b/>
        <vertAlign val="subscript"/>
        <sz val="8"/>
        <rFont val="Arial"/>
        <family val="2"/>
      </rPr>
      <t>1</t>
    </r>
  </si>
  <si>
    <r>
      <t>RED t</t>
    </r>
    <r>
      <rPr>
        <b/>
        <vertAlign val="subscript"/>
        <sz val="8"/>
        <rFont val="Arial"/>
        <family val="2"/>
      </rPr>
      <t>0</t>
    </r>
  </si>
  <si>
    <r>
      <t>RED t</t>
    </r>
    <r>
      <rPr>
        <b/>
        <vertAlign val="subscript"/>
        <sz val="8"/>
        <rFont val="Arial"/>
        <family val="2"/>
      </rPr>
      <t>1</t>
    </r>
  </si>
  <si>
    <r>
      <t>PITCH t</t>
    </r>
    <r>
      <rPr>
        <b/>
        <vertAlign val="subscript"/>
        <sz val="8"/>
        <rFont val="Arial"/>
        <family val="2"/>
      </rPr>
      <t>0</t>
    </r>
  </si>
  <si>
    <r>
      <t>PITCH t</t>
    </r>
    <r>
      <rPr>
        <b/>
        <vertAlign val="subscript"/>
        <sz val="8"/>
        <rFont val="Arial"/>
        <family val="2"/>
      </rPr>
      <t>1</t>
    </r>
  </si>
  <si>
    <r>
      <t>No veg t</t>
    </r>
    <r>
      <rPr>
        <b/>
        <vertAlign val="subscript"/>
        <sz val="8"/>
        <rFont val="Arial"/>
        <family val="2"/>
      </rPr>
      <t>0</t>
    </r>
  </si>
  <si>
    <r>
      <t>No veg t</t>
    </r>
    <r>
      <rPr>
        <b/>
        <vertAlign val="subscript"/>
        <sz val="8"/>
        <rFont val="Arial"/>
        <family val="2"/>
      </rPr>
      <t>1</t>
    </r>
  </si>
  <si>
    <r>
      <t>N (g 100g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</si>
  <si>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r>
      <t>p (t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=0)</t>
    </r>
  </si>
  <si>
    <t>A one-sided p value was used because differences were expected</t>
  </si>
  <si>
    <t>A two-sided p value was used because differences were not expected</t>
  </si>
  <si>
    <r>
      <t xml:space="preserve"> 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-t</t>
    </r>
    <r>
      <rPr>
        <b/>
        <vertAlign val="subscript"/>
        <sz val="10"/>
        <rFont val="Arial"/>
        <family val="2"/>
      </rPr>
      <t xml:space="preserve">0 </t>
    </r>
    <r>
      <rPr>
        <b/>
        <sz val="10"/>
        <rFont val="Arial"/>
        <family val="2"/>
      </rPr>
      <t>(yrs)</t>
    </r>
  </si>
  <si>
    <t>Upper</t>
  </si>
  <si>
    <t>Lower</t>
  </si>
  <si>
    <t>Total</t>
  </si>
  <si>
    <t>Group</t>
  </si>
  <si>
    <t>These concentrations represent a weighted average for t1 samples (combining 0-5, 5-10, and 10-20 cm samples), with weighting based on thickness.</t>
  </si>
  <si>
    <t>Deviation squared * weight</t>
  </si>
  <si>
    <t>Weighted</t>
  </si>
  <si>
    <t>average</t>
  </si>
  <si>
    <t>std dev</t>
  </si>
  <si>
    <t>Weighted concentrations (based on thickness)</t>
  </si>
  <si>
    <r>
      <t>t</t>
    </r>
    <r>
      <rPr>
        <b/>
        <vertAlign val="subscript"/>
        <sz val="10"/>
        <rFont val="Arial"/>
        <family val="2"/>
      </rPr>
      <t>(0.05)</t>
    </r>
  </si>
  <si>
    <t>No weighting needed because of no differences betrween 20-30 and 30-135 cm depths.</t>
  </si>
  <si>
    <t>Unweighted</t>
  </si>
  <si>
    <r>
      <t>N(g 100g</t>
    </r>
    <r>
      <rPr>
        <b/>
        <vertAlign val="superscript"/>
        <sz val="10"/>
        <rFont val="Arial"/>
        <family val="2"/>
      </rPr>
      <t>-1</t>
    </r>
    <r>
      <rPr>
        <b/>
        <sz val="10"/>
        <rFont val="Arial"/>
        <family val="2"/>
      </rPr>
      <t>)</t>
    </r>
  </si>
  <si>
    <t>Unweighted data by sandbox</t>
  </si>
  <si>
    <t>Weighted data with weighting to adjust for higher 20-30 cm values in vegetated sandboxes</t>
  </si>
  <si>
    <t>unweighted</t>
  </si>
  <si>
    <t>weighted</t>
  </si>
  <si>
    <t>unweighted (see below)</t>
  </si>
  <si>
    <r>
      <t>Grab t</t>
    </r>
    <r>
      <rPr>
        <b/>
        <vertAlign val="subscript"/>
        <sz val="8"/>
        <rFont val="Arial"/>
        <family val="2"/>
      </rPr>
      <t>0</t>
    </r>
  </si>
  <si>
    <t>Graphs</t>
  </si>
  <si>
    <t>Slightly higher 20-30 than deeper--justifying a weighted average and standard deviation</t>
  </si>
  <si>
    <t>interval</t>
  </si>
  <si>
    <t>*</t>
  </si>
  <si>
    <r>
      <t>t</t>
    </r>
    <r>
      <rPr>
        <b/>
        <vertAlign val="subscript"/>
        <sz val="10"/>
        <rFont val="Arial"/>
        <family val="2"/>
      </rPr>
      <t>(alpha=0.05)</t>
    </r>
  </si>
  <si>
    <t>bottom</t>
  </si>
  <si>
    <t>top</t>
  </si>
  <si>
    <t>95% confidence interval</t>
  </si>
  <si>
    <t>1/2 interval</t>
  </si>
  <si>
    <t>T test</t>
  </si>
  <si>
    <r>
      <t xml:space="preserve"> t</t>
    </r>
    <r>
      <rPr>
        <b/>
        <vertAlign val="subscript"/>
        <sz val="10"/>
        <rFont val="Arial"/>
        <family val="2"/>
      </rPr>
      <t>0</t>
    </r>
  </si>
  <si>
    <r>
      <t xml:space="preserve"> t</t>
    </r>
    <r>
      <rPr>
        <b/>
        <vertAlign val="subscript"/>
        <sz val="10"/>
        <rFont val="Arial"/>
        <family val="2"/>
      </rPr>
      <t>1</t>
    </r>
  </si>
  <si>
    <r>
      <t>p (t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&gt;0)</t>
    </r>
  </si>
  <si>
    <r>
      <t>p (t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-t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=0)</t>
    </r>
  </si>
  <si>
    <t>Delta N</t>
  </si>
  <si>
    <t>95% confidence</t>
  </si>
  <si>
    <t>95% confidence intervals for delta N</t>
  </si>
  <si>
    <t>95% confidence intervals for delta N annual basis</t>
  </si>
  <si>
    <t>+/- CI</t>
  </si>
  <si>
    <t>Avg</t>
  </si>
  <si>
    <t>soil</t>
  </si>
  <si>
    <t>Total (0-135 cm) soil</t>
  </si>
  <si>
    <t>Lower (20-135 cm) soil</t>
  </si>
  <si>
    <t>Upper (0-20 cm) soil</t>
  </si>
  <si>
    <r>
      <t>These final sampling (t</t>
    </r>
    <r>
      <rPr>
        <vertAlign val="subscript"/>
        <sz val="10"/>
        <rFont val="Arial"/>
        <family val="2"/>
      </rPr>
      <t>1</t>
    </r>
    <r>
      <rPr>
        <sz val="10"/>
        <rFont val="Arial"/>
        <family val="0"/>
      </rPr>
      <t>) data come from table 2 (Bormann et al. 1993)</t>
    </r>
  </si>
  <si>
    <t>The assumption is that mass of soil (dry weight basis) did not change appreciably in</t>
  </si>
  <si>
    <t>Calculating a fixed, average-fine-soil (&lt;2mm) N mass, based on final soil sampling</t>
  </si>
  <si>
    <t>Confidence intervals for total soil based on approximate-variance formula</t>
  </si>
  <si>
    <t xml:space="preserve">The 95% confidence interval of the sum is approximated as the square root of the sum of the component intervals squared.  </t>
  </si>
  <si>
    <t>This formula is not exact in that independence is assumed and the formula does not account for unequal sample sizes.</t>
  </si>
  <si>
    <t>One-half 95% confidence intervals</t>
  </si>
  <si>
    <t>Alder</t>
  </si>
  <si>
    <t>Red pine</t>
  </si>
  <si>
    <t>Pitch pine</t>
  </si>
  <si>
    <r>
      <t>N Concentration in Fine Soil (g 100g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</si>
  <si>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Values for tables: annual N gain or loss (kg ha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yr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</si>
  <si>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Annual N gain or loss (kg ha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yr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</si>
  <si>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N mass in fine (&lt; 2mm) soil (kg ha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), assuming fixed soil mass</t>
    </r>
  </si>
  <si>
    <r>
      <t>Upper soil (0-20 cm) percent N values at t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and t</t>
    </r>
    <r>
      <rPr>
        <b/>
        <vertAlign val="subscript"/>
        <sz val="12"/>
        <rFont val="Arial"/>
        <family val="2"/>
      </rPr>
      <t>1</t>
    </r>
  </si>
  <si>
    <r>
      <t>Lower soil (20-135 cm) percent N values at t</t>
    </r>
    <r>
      <rPr>
        <b/>
        <vertAlign val="subscript"/>
        <sz val="12"/>
        <rFont val="Arial"/>
        <family val="2"/>
      </rPr>
      <t>0</t>
    </r>
    <r>
      <rPr>
        <b/>
        <sz val="12"/>
        <rFont val="Arial"/>
        <family val="2"/>
      </rPr>
      <t xml:space="preserve"> and t</t>
    </r>
    <r>
      <rPr>
        <b/>
        <vertAlign val="subscript"/>
        <sz val="12"/>
        <rFont val="Arial"/>
        <family val="2"/>
      </rPr>
      <t>1</t>
    </r>
  </si>
  <si>
    <t>half</t>
  </si>
  <si>
    <t xml:space="preserve">  95% confidence interval on the difference</t>
  </si>
  <si>
    <t>Half 95%</t>
  </si>
  <si>
    <t>CI</t>
  </si>
  <si>
    <t>Half</t>
  </si>
  <si>
    <t>(one-tailed)</t>
  </si>
  <si>
    <t>(two-tailed)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</si>
</sst>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%"/>
    <numFmt numFmtId="165" formatCode="0.0000%"/>
    <numFmt numFmtId="166" formatCode="0.000000"/>
    <numFmt numFmtId="167" formatCode="0.00000%"/>
    <numFmt numFmtId="168" formatCode="0.0000"/>
    <numFmt numFmtId="169" formatCode="0.000%"/>
    <numFmt numFmtId="170" formatCode="0.0"/>
    <numFmt numFmtId="171" formatCode="0.000"/>
    <numFmt numFmtId="172" formatCode="0.000000%"/>
    <numFmt numFmtId="173" formatCode="0.00000"/>
    <numFmt numFmtId="174" formatCode="0.0000000"/>
    <numFmt numFmtId="175" formatCode="0.00000000"/>
    <numFmt numFmtId="176" formatCode="0.00000000000000000"/>
    <numFmt numFmtId="177" formatCode="0.0000000000%"/>
    <numFmt numFmtId="178" formatCode="0.000000000000000000%"/>
    <numFmt numFmtId="179" formatCode="#,##0.00%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9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bscript"/>
      <sz val="10"/>
      <name val="Arial"/>
      <family val="2"/>
    </font>
    <font>
      <b/>
      <sz val="8"/>
      <name val="Arial"/>
      <family val="2"/>
    </font>
    <font>
      <b/>
      <vertAlign val="subscript"/>
      <sz val="8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0"/>
      <name val="AvantGarde Md BT"/>
      <family val="2"/>
    </font>
    <font>
      <sz val="10"/>
      <name val="Symbol"/>
      <family val="1"/>
    </font>
    <font>
      <b/>
      <sz val="10"/>
      <color indexed="10"/>
      <name val="Arial"/>
      <family val="2"/>
    </font>
    <font>
      <b/>
      <vertAlign val="subscript"/>
      <sz val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gray0625"/>
    </fill>
    <fill>
      <patternFill patternType="gray0625">
        <bgColor indexed="13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4" fontId="2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2" fontId="0" fillId="3" borderId="2" xfId="0" applyNumberForma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2" fontId="0" fillId="3" borderId="0" xfId="0" applyNumberFormat="1" applyFill="1" applyBorder="1" applyAlignment="1">
      <alignment/>
    </xf>
    <xf numFmtId="0" fontId="0" fillId="3" borderId="5" xfId="0" applyFill="1" applyBorder="1" applyAlignment="1">
      <alignment/>
    </xf>
    <xf numFmtId="0" fontId="0" fillId="4" borderId="0" xfId="0" applyFill="1" applyBorder="1" applyAlignment="1">
      <alignment/>
    </xf>
    <xf numFmtId="1" fontId="0" fillId="3" borderId="0" xfId="0" applyNumberFormat="1" applyFill="1" applyBorder="1" applyAlignment="1">
      <alignment/>
    </xf>
    <xf numFmtId="0" fontId="0" fillId="3" borderId="0" xfId="0" applyFill="1" applyBorder="1" applyAlignment="1">
      <alignment horizontal="right"/>
    </xf>
    <xf numFmtId="170" fontId="0" fillId="3" borderId="0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173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5" borderId="0" xfId="0" applyFill="1" applyAlignment="1">
      <alignment/>
    </xf>
    <xf numFmtId="2" fontId="0" fillId="5" borderId="0" xfId="0" applyNumberFormat="1" applyFill="1" applyAlignment="1">
      <alignment/>
    </xf>
    <xf numFmtId="0" fontId="0" fillId="5" borderId="0" xfId="0" applyFill="1" applyAlignment="1">
      <alignment horizontal="right"/>
    </xf>
    <xf numFmtId="171" fontId="0" fillId="5" borderId="0" xfId="0" applyNumberFormat="1" applyFill="1" applyAlignment="1">
      <alignment/>
    </xf>
    <xf numFmtId="168" fontId="0" fillId="5" borderId="0" xfId="0" applyNumberFormat="1" applyFill="1" applyAlignment="1">
      <alignment/>
    </xf>
    <xf numFmtId="1" fontId="0" fillId="5" borderId="0" xfId="0" applyNumberFormat="1" applyFill="1" applyAlignment="1">
      <alignment/>
    </xf>
    <xf numFmtId="170" fontId="0" fillId="5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1" fontId="0" fillId="0" borderId="0" xfId="0" applyNumberFormat="1" applyFill="1" applyAlignment="1">
      <alignment/>
    </xf>
    <xf numFmtId="168" fontId="0" fillId="2" borderId="0" xfId="0" applyNumberFormat="1" applyFill="1" applyAlignment="1">
      <alignment/>
    </xf>
    <xf numFmtId="171" fontId="0" fillId="0" borderId="0" xfId="0" applyNumberFormat="1" applyAlignment="1">
      <alignment/>
    </xf>
    <xf numFmtId="168" fontId="0" fillId="6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0" fillId="6" borderId="0" xfId="0" applyFill="1" applyAlignment="1">
      <alignment/>
    </xf>
    <xf numFmtId="0" fontId="0" fillId="3" borderId="0" xfId="0" applyFill="1" applyBorder="1" applyAlignment="1">
      <alignment horizontal="center"/>
    </xf>
    <xf numFmtId="171" fontId="0" fillId="6" borderId="0" xfId="0" applyNumberFormat="1" applyFill="1" applyAlignment="1">
      <alignment/>
    </xf>
    <xf numFmtId="168" fontId="0" fillId="0" borderId="0" xfId="0" applyNumberFormat="1" applyAlignment="1">
      <alignment/>
    </xf>
    <xf numFmtId="0" fontId="1" fillId="0" borderId="0" xfId="0" applyFont="1" applyFill="1" applyAlignment="1">
      <alignment horizontal="center"/>
    </xf>
    <xf numFmtId="168" fontId="0" fillId="2" borderId="0" xfId="0" applyNumberFormat="1" applyFill="1" applyAlignment="1">
      <alignment/>
    </xf>
    <xf numFmtId="168" fontId="0" fillId="7" borderId="0" xfId="0" applyNumberFormat="1" applyFill="1" applyAlignment="1">
      <alignment/>
    </xf>
    <xf numFmtId="168" fontId="2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171" fontId="0" fillId="5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173" fontId="1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0" xfId="0" applyNumberFormat="1" applyFill="1" applyAlignment="1">
      <alignment/>
    </xf>
    <xf numFmtId="171" fontId="0" fillId="2" borderId="0" xfId="0" applyNumberFormat="1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>
      <alignment horizontal="right"/>
    </xf>
    <xf numFmtId="1" fontId="0" fillId="5" borderId="0" xfId="0" applyNumberFormat="1" applyFont="1" applyFill="1" applyAlignment="1">
      <alignment/>
    </xf>
    <xf numFmtId="0" fontId="0" fillId="5" borderId="0" xfId="0" applyFont="1" applyFill="1" applyAlignment="1">
      <alignment/>
    </xf>
    <xf numFmtId="0" fontId="1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5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1" fontId="17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1" fontId="0" fillId="7" borderId="0" xfId="0" applyNumberFormat="1" applyFill="1" applyAlignment="1">
      <alignment horizontal="left" vertical="top" wrapText="1"/>
    </xf>
    <xf numFmtId="0" fontId="0" fillId="7" borderId="0" xfId="0" applyFill="1" applyAlignment="1">
      <alignment horizontal="left" vertical="top"/>
    </xf>
    <xf numFmtId="168" fontId="0" fillId="0" borderId="0" xfId="0" applyNumberFormat="1" applyFill="1" applyAlignment="1">
      <alignment vertical="top" wrapText="1"/>
    </xf>
    <xf numFmtId="0" fontId="0" fillId="7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'Upper soil'!$F$21:$F$87</c:f>
                <c:numCache>
                  <c:ptCount val="67"/>
                  <c:pt idx="0">
                    <c:v>0.009904033102423646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0.003029564452522905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0.004031539437515414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0.003030308296464449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0.014405750855944529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0.006127760159308986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0.003575454702592466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0.0046524414021587015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plus>
            <c:minus>
              <c:numRef>
                <c:f>'Upper soil'!$F$21:$F$87</c:f>
                <c:numCache>
                  <c:ptCount val="67"/>
                  <c:pt idx="0">
                    <c:v>0.009904033102423646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0.003029564452522905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0.004031539437515414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0.003030308296464449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0.014405750855944529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0.006127760159308986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0.003575454702592466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0.0046524414021587015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</c:numCache>
              </c:numRef>
            </c:minus>
            <c:noEndCap val="0"/>
          </c:errBars>
          <c:xVal>
            <c:numRef>
              <c:f>'Upper soil'!$I$21:$I$87</c:f>
              <c:numCache/>
            </c:numRef>
          </c:xVal>
          <c:yVal>
            <c:numRef>
              <c:f>'Upper soil'!$C$21:$C$87</c:f>
              <c:numCache/>
            </c:numRef>
          </c:yVal>
          <c:smooth val="0"/>
        </c:ser>
        <c:axId val="16923496"/>
        <c:axId val="18093737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'Upper soil'!$I$21:$I$87</c:f>
              <c:numCache/>
            </c:numRef>
          </c:xVal>
          <c:yVal>
            <c:numRef>
              <c:f>'Upper soil'!$P$21:$P$87</c:f>
              <c:numCache/>
            </c:numRef>
          </c:yVal>
          <c:smooth val="0"/>
        </c:ser>
        <c:axId val="28625906"/>
        <c:axId val="56306563"/>
      </c:scatterChart>
      <c:valAx>
        <c:axId val="16923496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after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18093737"/>
        <c:crosses val="autoZero"/>
        <c:crossBetween val="midCat"/>
        <c:dispUnits/>
      </c:valAx>
      <c:valAx>
        <c:axId val="18093737"/>
        <c:scaling>
          <c:orientation val="minMax"/>
          <c:max val="0.0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Soil %N (g 100g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6923496"/>
        <c:crossesAt val="-2"/>
        <c:crossBetween val="midCat"/>
        <c:dispUnits/>
      </c:valAx>
      <c:valAx>
        <c:axId val="28625906"/>
        <c:scaling>
          <c:orientation val="minMax"/>
        </c:scaling>
        <c:axPos val="b"/>
        <c:delete val="1"/>
        <c:majorTickMark val="in"/>
        <c:minorTickMark val="none"/>
        <c:tickLblPos val="nextTo"/>
        <c:crossAx val="56306563"/>
        <c:crosses val="max"/>
        <c:crossBetween val="midCat"/>
        <c:dispUnits/>
      </c:valAx>
      <c:valAx>
        <c:axId val="56306563"/>
        <c:scaling>
          <c:orientation val="minMax"/>
          <c:max val="163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Soil N mass (kg ha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625906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26"/>
          <c:w val="0.833"/>
          <c:h val="0.86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'Lower soil'!$E$115:$E$125</c:f>
                <c:numCache>
                  <c:ptCount val="11"/>
                  <c:pt idx="0">
                    <c:v>NaN</c:v>
                  </c:pt>
                  <c:pt idx="1">
                    <c:v>0.0003656270507827347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0.0004711070582602151</c:v>
                  </c:pt>
                  <c:pt idx="6">
                    <c:v>NaN</c:v>
                  </c:pt>
                  <c:pt idx="7">
                    <c:v>0.0003055534829332712</c:v>
                  </c:pt>
                  <c:pt idx="8">
                    <c:v>0.0004931947851041501</c:v>
                  </c:pt>
                  <c:pt idx="9">
                    <c:v>0.0003733239786855079</c:v>
                  </c:pt>
                  <c:pt idx="10">
                    <c:v>0.0009141165543300757</c:v>
                  </c:pt>
                </c:numCache>
              </c:numRef>
            </c:plus>
            <c:minus>
              <c:numRef>
                <c:f>'Lower soil'!$E$115:$E$125</c:f>
                <c:numCache>
                  <c:ptCount val="11"/>
                  <c:pt idx="0">
                    <c:v>NaN</c:v>
                  </c:pt>
                  <c:pt idx="1">
                    <c:v>0.0003656270507827347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0.0004711070582602151</c:v>
                  </c:pt>
                  <c:pt idx="6">
                    <c:v>NaN</c:v>
                  </c:pt>
                  <c:pt idx="7">
                    <c:v>0.0003055534829332712</c:v>
                  </c:pt>
                  <c:pt idx="8">
                    <c:v>0.0004931947851041501</c:v>
                  </c:pt>
                  <c:pt idx="9">
                    <c:v>0.0003733239786855079</c:v>
                  </c:pt>
                  <c:pt idx="10">
                    <c:v>0.0009141165543300757</c:v>
                  </c:pt>
                </c:numCache>
              </c:numRef>
            </c:minus>
            <c:noEndCap val="0"/>
          </c:errBars>
          <c:xVal>
            <c:numRef>
              <c:f>'Lower soil'!$H$115:$H$125</c:f>
              <c:numCache/>
            </c:numRef>
          </c:xVal>
          <c:yVal>
            <c:numRef>
              <c:f>'Lower soil'!$B$115:$B$125</c:f>
              <c:numCache/>
            </c:numRef>
          </c:yVal>
          <c:smooth val="0"/>
        </c:ser>
        <c:axId val="36997020"/>
        <c:axId val="64537725"/>
      </c:scatterChart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'[1]Data'!$J$42:$J$67</c:f>
                <c:numCache>
                  <c:ptCount val="11"/>
                  <c:pt idx="0">
                    <c:v>0.0012700029104849768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0.000643839243467598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0.000914658546925031</c:v>
                  </c:pt>
                </c:numCache>
              </c:numRef>
            </c:plus>
            <c:minus>
              <c:numRef>
                <c:f>'[1]Data'!$J$42:$J$67</c:f>
                <c:numCache>
                  <c:ptCount val="11"/>
                  <c:pt idx="0">
                    <c:v>0.0012700029104849768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0.000643839243467598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0.000914658546925031</c:v>
                  </c:pt>
                </c:numCache>
              </c:numRef>
            </c:minus>
            <c:noEndCap val="0"/>
          </c:errBars>
          <c:xVal>
            <c:numRef>
              <c:f>'Lower soil'!$H$115:$H$125</c:f>
              <c:numCache/>
            </c:numRef>
          </c:xVal>
          <c:yVal>
            <c:numRef>
              <c:f>'Lower soil'!$P$115:$P$125</c:f>
              <c:numCache/>
            </c:numRef>
          </c:yVal>
          <c:smooth val="0"/>
        </c:ser>
        <c:axId val="43968614"/>
        <c:axId val="60173207"/>
      </c:scatterChart>
      <c:valAx>
        <c:axId val="36997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 after start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64537725"/>
        <c:crosses val="autoZero"/>
        <c:crossBetween val="midCat"/>
        <c:dispUnits/>
      </c:valAx>
      <c:valAx>
        <c:axId val="64537725"/>
        <c:scaling>
          <c:orientation val="minMax"/>
          <c:max val="0.0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Soil %N (g 100g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36997020"/>
        <c:crossesAt val="-2"/>
        <c:crossBetween val="midCat"/>
        <c:dispUnits/>
        <c:majorUnit val="0.002"/>
      </c:valAx>
      <c:valAx>
        <c:axId val="43968614"/>
        <c:scaling>
          <c:orientation val="minMax"/>
        </c:scaling>
        <c:axPos val="b"/>
        <c:delete val="1"/>
        <c:majorTickMark val="in"/>
        <c:minorTickMark val="none"/>
        <c:tickLblPos val="nextTo"/>
        <c:crossAx val="60173207"/>
        <c:crosses val="max"/>
        <c:crossBetween val="midCat"/>
        <c:dispUnits/>
      </c:valAx>
      <c:valAx>
        <c:axId val="60173207"/>
        <c:scaling>
          <c:orientation val="minMax"/>
          <c:max val="1665.7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Soil N mass (kg ha</a:t>
                </a:r>
                <a:r>
                  <a:rPr lang="en-US" cap="none" sz="1200" b="1" i="0" u="none" baseline="30000">
                    <a:latin typeface="Arial"/>
                    <a:ea typeface="Arial"/>
                    <a:cs typeface="Arial"/>
                  </a:rPr>
                  <a:t>-1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3968614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90</xdr:row>
      <xdr:rowOff>28575</xdr:rowOff>
    </xdr:from>
    <xdr:to>
      <xdr:col>8</xdr:col>
      <xdr:colOff>142875</xdr:colOff>
      <xdr:row>112</xdr:row>
      <xdr:rowOff>114300</xdr:rowOff>
    </xdr:to>
    <xdr:graphicFrame>
      <xdr:nvGraphicFramePr>
        <xdr:cNvPr id="1" name="Chart 2"/>
        <xdr:cNvGraphicFramePr/>
      </xdr:nvGraphicFramePr>
      <xdr:xfrm>
        <a:off x="266700" y="14782800"/>
        <a:ext cx="501015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9525</xdr:colOff>
      <xdr:row>94</xdr:row>
      <xdr:rowOff>123825</xdr:rowOff>
    </xdr:from>
    <xdr:ext cx="400050" cy="200025"/>
    <xdr:sp>
      <xdr:nvSpPr>
        <xdr:cNvPr id="2" name="TextBox 3"/>
        <xdr:cNvSpPr txBox="1">
          <a:spLocks noChangeArrowheads="1"/>
        </xdr:cNvSpPr>
      </xdr:nvSpPr>
      <xdr:spPr>
        <a:xfrm>
          <a:off x="2705100" y="15525750"/>
          <a:ext cx="400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Alder</a:t>
          </a:r>
        </a:p>
      </xdr:txBody>
    </xdr:sp>
    <xdr:clientData/>
  </xdr:oneCellAnchor>
  <xdr:oneCellAnchor>
    <xdr:from>
      <xdr:col>4</xdr:col>
      <xdr:colOff>0</xdr:colOff>
      <xdr:row>97</xdr:row>
      <xdr:rowOff>152400</xdr:rowOff>
    </xdr:from>
    <xdr:ext cx="409575" cy="200025"/>
    <xdr:sp>
      <xdr:nvSpPr>
        <xdr:cNvPr id="3" name="TextBox 4"/>
        <xdr:cNvSpPr txBox="1">
          <a:spLocks noChangeArrowheads="1"/>
        </xdr:cNvSpPr>
      </xdr:nvSpPr>
      <xdr:spPr>
        <a:xfrm>
          <a:off x="2695575" y="16040100"/>
          <a:ext cx="4095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Pines</a:t>
          </a:r>
        </a:p>
      </xdr:txBody>
    </xdr:sp>
    <xdr:clientData/>
  </xdr:oneCellAnchor>
  <xdr:twoCellAnchor>
    <xdr:from>
      <xdr:col>3</xdr:col>
      <xdr:colOff>19050</xdr:colOff>
      <xdr:row>94</xdr:row>
      <xdr:rowOff>95250</xdr:rowOff>
    </xdr:from>
    <xdr:to>
      <xdr:col>5</xdr:col>
      <xdr:colOff>152400</xdr:colOff>
      <xdr:row>98</xdr:row>
      <xdr:rowOff>28575</xdr:rowOff>
    </xdr:to>
    <xdr:sp>
      <xdr:nvSpPr>
        <xdr:cNvPr id="4" name="Line 5"/>
        <xdr:cNvSpPr>
          <a:spLocks/>
        </xdr:cNvSpPr>
      </xdr:nvSpPr>
      <xdr:spPr>
        <a:xfrm flipV="1">
          <a:off x="2105025" y="15497175"/>
          <a:ext cx="1352550" cy="5810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99</xdr:row>
      <xdr:rowOff>0</xdr:rowOff>
    </xdr:from>
    <xdr:to>
      <xdr:col>5</xdr:col>
      <xdr:colOff>171450</xdr:colOff>
      <xdr:row>99</xdr:row>
      <xdr:rowOff>47625</xdr:rowOff>
    </xdr:to>
    <xdr:sp>
      <xdr:nvSpPr>
        <xdr:cNvPr id="5" name="Line 6"/>
        <xdr:cNvSpPr>
          <a:spLocks/>
        </xdr:cNvSpPr>
      </xdr:nvSpPr>
      <xdr:spPr>
        <a:xfrm flipH="1" flipV="1">
          <a:off x="2114550" y="16211550"/>
          <a:ext cx="1362075" cy="476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98</xdr:row>
      <xdr:rowOff>85725</xdr:rowOff>
    </xdr:from>
    <xdr:to>
      <xdr:col>5</xdr:col>
      <xdr:colOff>190500</xdr:colOff>
      <xdr:row>99</xdr:row>
      <xdr:rowOff>85725</xdr:rowOff>
    </xdr:to>
    <xdr:sp>
      <xdr:nvSpPr>
        <xdr:cNvPr id="6" name="Line 7"/>
        <xdr:cNvSpPr>
          <a:spLocks/>
        </xdr:cNvSpPr>
      </xdr:nvSpPr>
      <xdr:spPr>
        <a:xfrm flipH="1" flipV="1">
          <a:off x="2143125" y="16135350"/>
          <a:ext cx="1352550" cy="161925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771525</xdr:colOff>
      <xdr:row>99</xdr:row>
      <xdr:rowOff>133350</xdr:rowOff>
    </xdr:from>
    <xdr:to>
      <xdr:col>4</xdr:col>
      <xdr:colOff>447675</xdr:colOff>
      <xdr:row>102</xdr:row>
      <xdr:rowOff>85725</xdr:rowOff>
    </xdr:to>
    <xdr:sp>
      <xdr:nvSpPr>
        <xdr:cNvPr id="7" name="Line 8"/>
        <xdr:cNvSpPr>
          <a:spLocks/>
        </xdr:cNvSpPr>
      </xdr:nvSpPr>
      <xdr:spPr>
        <a:xfrm>
          <a:off x="2028825" y="16344900"/>
          <a:ext cx="1114425" cy="438150"/>
        </a:xfrm>
        <a:prstGeom prst="line">
          <a:avLst/>
        </a:prstGeom>
        <a:noFill/>
        <a:ln w="127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561975</xdr:colOff>
      <xdr:row>100</xdr:row>
      <xdr:rowOff>66675</xdr:rowOff>
    </xdr:from>
    <xdr:ext cx="495300" cy="200025"/>
    <xdr:sp>
      <xdr:nvSpPr>
        <xdr:cNvPr id="8" name="TextBox 9"/>
        <xdr:cNvSpPr txBox="1">
          <a:spLocks noChangeArrowheads="1"/>
        </xdr:cNvSpPr>
      </xdr:nvSpPr>
      <xdr:spPr>
        <a:xfrm>
          <a:off x="2647950" y="16440150"/>
          <a:ext cx="495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No veg</a:t>
          </a:r>
        </a:p>
      </xdr:txBody>
    </xdr:sp>
    <xdr:clientData/>
  </xdr:oneCellAnchor>
  <xdr:twoCellAnchor>
    <xdr:from>
      <xdr:col>3</xdr:col>
      <xdr:colOff>76200</xdr:colOff>
      <xdr:row>106</xdr:row>
      <xdr:rowOff>57150</xdr:rowOff>
    </xdr:from>
    <xdr:to>
      <xdr:col>5</xdr:col>
      <xdr:colOff>95250</xdr:colOff>
      <xdr:row>107</xdr:row>
      <xdr:rowOff>123825</xdr:rowOff>
    </xdr:to>
    <xdr:grpSp>
      <xdr:nvGrpSpPr>
        <xdr:cNvPr id="9" name="Group 10"/>
        <xdr:cNvGrpSpPr>
          <a:grpSpLocks/>
        </xdr:cNvGrpSpPr>
      </xdr:nvGrpSpPr>
      <xdr:grpSpPr>
        <a:xfrm>
          <a:off x="2162175" y="17402175"/>
          <a:ext cx="1238250" cy="228600"/>
          <a:chOff x="227" y="297"/>
          <a:chExt cx="130" cy="24"/>
        </a:xfrm>
        <a:solidFill>
          <a:srgbClr val="FFFFFF"/>
        </a:solidFill>
      </xdr:grpSpPr>
      <xdr:sp>
        <xdr:nvSpPr>
          <xdr:cNvPr id="10" name="Line 11"/>
          <xdr:cNvSpPr>
            <a:spLocks/>
          </xdr:cNvSpPr>
        </xdr:nvSpPr>
        <xdr:spPr>
          <a:xfrm>
            <a:off x="232" y="297"/>
            <a:ext cx="0" cy="2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TextBox 12"/>
          <xdr:cNvSpPr txBox="1">
            <a:spLocks noChangeArrowheads="1"/>
          </xdr:cNvSpPr>
        </xdr:nvSpPr>
        <xdr:spPr>
          <a:xfrm>
            <a:off x="238" y="300"/>
            <a:ext cx="119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95% conf. interval</a:t>
            </a:r>
          </a:p>
        </xdr:txBody>
      </xdr:sp>
      <xdr:sp>
        <xdr:nvSpPr>
          <xdr:cNvPr id="12" name="Line 13"/>
          <xdr:cNvSpPr>
            <a:spLocks/>
          </xdr:cNvSpPr>
        </xdr:nvSpPr>
        <xdr:spPr>
          <a:xfrm>
            <a:off x="227" y="297"/>
            <a:ext cx="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227" y="317"/>
            <a:ext cx="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3</xdr:col>
      <xdr:colOff>28575</xdr:colOff>
      <xdr:row>90</xdr:row>
      <xdr:rowOff>66675</xdr:rowOff>
    </xdr:from>
    <xdr:ext cx="1257300" cy="200025"/>
    <xdr:sp>
      <xdr:nvSpPr>
        <xdr:cNvPr id="14" name="TextBox 15"/>
        <xdr:cNvSpPr txBox="1">
          <a:spLocks noChangeArrowheads="1"/>
        </xdr:cNvSpPr>
      </xdr:nvSpPr>
      <xdr:spPr>
        <a:xfrm>
          <a:off x="2114550" y="14820900"/>
          <a:ext cx="1257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Upper (0-20 cm) soil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495300</xdr:colOff>
      <xdr:row>88</xdr:row>
      <xdr:rowOff>76200</xdr:rowOff>
    </xdr:from>
    <xdr:ext cx="1409700" cy="200025"/>
    <xdr:sp>
      <xdr:nvSpPr>
        <xdr:cNvPr id="1" name="TextBox 41"/>
        <xdr:cNvSpPr txBox="1">
          <a:spLocks noChangeArrowheads="1"/>
        </xdr:cNvSpPr>
      </xdr:nvSpPr>
      <xdr:spPr>
        <a:xfrm>
          <a:off x="6324600" y="14649450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Lower (20-135 cm) soil </a:t>
          </a:r>
        </a:p>
      </xdr:txBody>
    </xdr:sp>
    <xdr:clientData/>
  </xdr:oneCellAnchor>
  <xdr:twoCellAnchor>
    <xdr:from>
      <xdr:col>4</xdr:col>
      <xdr:colOff>238125</xdr:colOff>
      <xdr:row>103</xdr:row>
      <xdr:rowOff>38100</xdr:rowOff>
    </xdr:from>
    <xdr:to>
      <xdr:col>4</xdr:col>
      <xdr:colOff>304800</xdr:colOff>
      <xdr:row>103</xdr:row>
      <xdr:rowOff>38100</xdr:rowOff>
    </xdr:to>
    <xdr:sp>
      <xdr:nvSpPr>
        <xdr:cNvPr id="2" name="Line 27"/>
        <xdr:cNvSpPr>
          <a:spLocks/>
        </xdr:cNvSpPr>
      </xdr:nvSpPr>
      <xdr:spPr>
        <a:xfrm>
          <a:off x="2828925" y="17040225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238125</xdr:colOff>
      <xdr:row>104</xdr:row>
      <xdr:rowOff>76200</xdr:rowOff>
    </xdr:from>
    <xdr:to>
      <xdr:col>4</xdr:col>
      <xdr:colOff>304800</xdr:colOff>
      <xdr:row>104</xdr:row>
      <xdr:rowOff>76200</xdr:rowOff>
    </xdr:to>
    <xdr:sp>
      <xdr:nvSpPr>
        <xdr:cNvPr id="3" name="Line 28"/>
        <xdr:cNvSpPr>
          <a:spLocks/>
        </xdr:cNvSpPr>
      </xdr:nvSpPr>
      <xdr:spPr>
        <a:xfrm>
          <a:off x="2828925" y="17240250"/>
          <a:ext cx="666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38100</xdr:colOff>
      <xdr:row>87</xdr:row>
      <xdr:rowOff>38100</xdr:rowOff>
    </xdr:from>
    <xdr:ext cx="1409700" cy="200025"/>
    <xdr:sp>
      <xdr:nvSpPr>
        <xdr:cNvPr id="4" name="TextBox 51"/>
        <xdr:cNvSpPr txBox="1">
          <a:spLocks noChangeArrowheads="1"/>
        </xdr:cNvSpPr>
      </xdr:nvSpPr>
      <xdr:spPr>
        <a:xfrm>
          <a:off x="2628900" y="14449425"/>
          <a:ext cx="1409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Lower (20-135 cm) soil </a:t>
          </a:r>
        </a:p>
      </xdr:txBody>
    </xdr:sp>
    <xdr:clientData/>
  </xdr:oneCellAnchor>
  <xdr:twoCellAnchor>
    <xdr:from>
      <xdr:col>1</xdr:col>
      <xdr:colOff>180975</xdr:colOff>
      <xdr:row>86</xdr:row>
      <xdr:rowOff>133350</xdr:rowOff>
    </xdr:from>
    <xdr:to>
      <xdr:col>9</xdr:col>
      <xdr:colOff>0</xdr:colOff>
      <xdr:row>109</xdr:row>
      <xdr:rowOff>142875</xdr:rowOff>
    </xdr:to>
    <xdr:grpSp>
      <xdr:nvGrpSpPr>
        <xdr:cNvPr id="5" name="Group 63"/>
        <xdr:cNvGrpSpPr>
          <a:grpSpLocks/>
        </xdr:cNvGrpSpPr>
      </xdr:nvGrpSpPr>
      <xdr:grpSpPr>
        <a:xfrm>
          <a:off x="828675" y="14382750"/>
          <a:ext cx="5000625" cy="3733800"/>
          <a:chOff x="87" y="1510"/>
          <a:chExt cx="525" cy="392"/>
        </a:xfrm>
        <a:solidFill>
          <a:srgbClr val="FFFFFF"/>
        </a:solidFill>
      </xdr:grpSpPr>
      <xdr:graphicFrame>
        <xdr:nvGraphicFramePr>
          <xdr:cNvPr id="6" name="Chart 17"/>
          <xdr:cNvGraphicFramePr/>
        </xdr:nvGraphicFramePr>
        <xdr:xfrm>
          <a:off x="87" y="1510"/>
          <a:ext cx="525" cy="392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pSp>
        <xdr:nvGrpSpPr>
          <xdr:cNvPr id="7" name="Group 62"/>
          <xdr:cNvGrpSpPr>
            <a:grpSpLocks/>
          </xdr:cNvGrpSpPr>
        </xdr:nvGrpSpPr>
        <xdr:grpSpPr>
          <a:xfrm>
            <a:off x="169" y="1562"/>
            <a:ext cx="319" cy="250"/>
            <a:chOff x="169" y="1562"/>
            <a:chExt cx="319" cy="250"/>
          </a:xfrm>
          <a:solidFill>
            <a:srgbClr val="FFFFFF"/>
          </a:solidFill>
        </xdr:grpSpPr>
        <xdr:sp>
          <xdr:nvSpPr>
            <xdr:cNvPr id="8" name="TextBox 18"/>
            <xdr:cNvSpPr txBox="1">
              <a:spLocks noChangeArrowheads="1"/>
            </xdr:cNvSpPr>
          </xdr:nvSpPr>
          <xdr:spPr>
            <a:xfrm>
              <a:off x="423" y="1648"/>
              <a:ext cx="6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No veg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9" name="TextBox 21"/>
            <xdr:cNvSpPr txBox="1">
              <a:spLocks noChangeArrowheads="1"/>
            </xdr:cNvSpPr>
          </xdr:nvSpPr>
          <xdr:spPr>
            <a:xfrm>
              <a:off x="426" y="1601"/>
              <a:ext cx="5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Alder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0" name="TextBox 22"/>
            <xdr:cNvSpPr txBox="1">
              <a:spLocks noChangeArrowheads="1"/>
            </xdr:cNvSpPr>
          </xdr:nvSpPr>
          <xdr:spPr>
            <a:xfrm>
              <a:off x="435" y="1615"/>
              <a:ext cx="46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Red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1" name="TextBox 23"/>
            <xdr:cNvSpPr txBox="1">
              <a:spLocks noChangeArrowheads="1"/>
            </xdr:cNvSpPr>
          </xdr:nvSpPr>
          <xdr:spPr>
            <a:xfrm>
              <a:off x="435" y="1632"/>
              <a:ext cx="53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Pitch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1</a:t>
              </a:r>
            </a:p>
          </xdr:txBody>
        </xdr:sp>
        <xdr:sp>
          <xdr:nvSpPr>
            <xdr:cNvPr id="12" name="TextBox 19"/>
            <xdr:cNvSpPr txBox="1">
              <a:spLocks noChangeArrowheads="1"/>
            </xdr:cNvSpPr>
          </xdr:nvSpPr>
          <xdr:spPr>
            <a:xfrm>
              <a:off x="265" y="1703"/>
              <a:ext cx="65" cy="2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l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No veg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0</a:t>
              </a: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3" name="TextBox 20"/>
            <xdr:cNvSpPr txBox="1">
              <a:spLocks noChangeArrowheads="1"/>
            </xdr:cNvSpPr>
          </xdr:nvSpPr>
          <xdr:spPr>
            <a:xfrm>
              <a:off x="192" y="1710"/>
              <a:ext cx="60" cy="3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>
              <a:spAutoFit/>
            </a:bodyPr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Grab
samples</a:t>
              </a:r>
            </a:p>
          </xdr:txBody>
        </xdr:sp>
        <xdr:sp>
          <xdr:nvSpPr>
            <xdr:cNvPr id="14" name="Line 29"/>
            <xdr:cNvSpPr>
              <a:spLocks/>
            </xdr:cNvSpPr>
          </xdr:nvSpPr>
          <xdr:spPr>
            <a:xfrm>
              <a:off x="271" y="1579"/>
              <a:ext cx="143" cy="54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TextBox 30"/>
            <xdr:cNvSpPr txBox="1">
              <a:spLocks noChangeArrowheads="1"/>
            </xdr:cNvSpPr>
          </xdr:nvSpPr>
          <xdr:spPr>
            <a:xfrm>
              <a:off x="169" y="1562"/>
              <a:ext cx="125" cy="58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ctr">
                <a:defRPr/>
              </a:pP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Pine t</a:t>
              </a:r>
              <a:r>
                <a:rPr lang="en-US" cap="none" sz="1000" b="1" i="0" u="none" baseline="-25000">
                  <a:latin typeface="Arial"/>
                  <a:ea typeface="Arial"/>
                  <a:cs typeface="Arial"/>
                </a:rPr>
                <a:t>0
</a:t>
              </a:r>
              <a:r>
                <a:rPr lang="en-US" cap="none" sz="900" b="1" i="0" u="none" baseline="0">
                  <a:latin typeface="Arial"/>
                  <a:ea typeface="Arial"/>
                  <a:cs typeface="Arial"/>
                </a:rPr>
                <a:t>(hypothetical balanced N)</a:t>
              </a:r>
              <a:r>
                <a:rPr lang="en-US" cap="none" sz="1000" b="1" i="0" u="none" baseline="0">
                  <a:latin typeface="Arial"/>
                  <a:ea typeface="Arial"/>
                  <a:cs typeface="Arial"/>
                </a:rPr>
                <a:t> </a:t>
              </a:r>
            </a:p>
          </xdr:txBody>
        </xdr:sp>
        <xdr:sp>
          <xdr:nvSpPr>
            <xdr:cNvPr id="16" name="Line 31"/>
            <xdr:cNvSpPr>
              <a:spLocks/>
            </xdr:cNvSpPr>
          </xdr:nvSpPr>
          <xdr:spPr>
            <a:xfrm flipV="1">
              <a:off x="301" y="1656"/>
              <a:ext cx="104" cy="3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Polygon 45"/>
            <xdr:cNvSpPr>
              <a:spLocks/>
            </xdr:cNvSpPr>
          </xdr:nvSpPr>
          <xdr:spPr>
            <a:xfrm>
              <a:off x="262" y="1573"/>
              <a:ext cx="7" cy="9"/>
            </a:xfrm>
            <a:custGeom>
              <a:pathLst>
                <a:path h="31" w="23">
                  <a:moveTo>
                    <a:pt x="12" y="0"/>
                  </a:moveTo>
                  <a:lnTo>
                    <a:pt x="0" y="16"/>
                  </a:lnTo>
                  <a:lnTo>
                    <a:pt x="13" y="31"/>
                  </a:lnTo>
                  <a:lnTo>
                    <a:pt x="23" y="15"/>
                  </a:lnTo>
                  <a:lnTo>
                    <a:pt x="12" y="0"/>
                  </a:lnTo>
                  <a:close/>
                </a:path>
              </a:pathLst>
            </a:cu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18" name="Group 61"/>
            <xdr:cNvGrpSpPr>
              <a:grpSpLocks/>
            </xdr:cNvGrpSpPr>
          </xdr:nvGrpSpPr>
          <xdr:grpSpPr>
            <a:xfrm>
              <a:off x="297" y="1789"/>
              <a:ext cx="127" cy="23"/>
              <a:chOff x="297" y="1789"/>
              <a:chExt cx="127" cy="23"/>
            </a:xfrm>
            <a:solidFill>
              <a:srgbClr val="FFFFFF"/>
            </a:solidFill>
          </xdr:grpSpPr>
          <xdr:sp>
            <xdr:nvSpPr>
              <xdr:cNvPr id="19" name="Line 25"/>
              <xdr:cNvSpPr>
                <a:spLocks/>
              </xdr:cNvSpPr>
            </xdr:nvSpPr>
            <xdr:spPr>
              <a:xfrm>
                <a:off x="300" y="1789"/>
                <a:ext cx="0" cy="21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0" name="TextBox 26"/>
              <xdr:cNvSpPr txBox="1">
                <a:spLocks noChangeArrowheads="1"/>
              </xdr:cNvSpPr>
            </xdr:nvSpPr>
            <xdr:spPr>
              <a:xfrm>
                <a:off x="305" y="1791"/>
                <a:ext cx="119" cy="21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>
                <a:spAutoFit/>
              </a:bodyPr>
              <a:p>
                <a:pPr algn="l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95% conf. interval</a:t>
                </a:r>
              </a:p>
            </xdr:txBody>
          </xdr:sp>
          <xdr:sp>
            <xdr:nvSpPr>
              <xdr:cNvPr id="21" name="Line 59"/>
              <xdr:cNvSpPr>
                <a:spLocks/>
              </xdr:cNvSpPr>
            </xdr:nvSpPr>
            <xdr:spPr>
              <a:xfrm>
                <a:off x="297" y="1789"/>
                <a:ext cx="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2" name="Line 60"/>
              <xdr:cNvSpPr>
                <a:spLocks/>
              </xdr:cNvSpPr>
            </xdr:nvSpPr>
            <xdr:spPr>
              <a:xfrm>
                <a:off x="297" y="1810"/>
                <a:ext cx="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bormann\Desktop\Occult%20N\Percent%20N%20mo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s"/>
      <sheetName val="Data"/>
      <sheetName val="Fixed mass Nwt"/>
      <sheetName val="ANOVA upper"/>
      <sheetName val="ANOVA lower"/>
    </sheetNames>
    <sheetDataSet>
      <sheetData sheetId="1">
        <row r="42">
          <cell r="J42">
            <v>0.0012700029104849768</v>
          </cell>
        </row>
        <row r="46">
          <cell r="J46">
            <v>0.000643839243467598</v>
          </cell>
        </row>
        <row r="52">
          <cell r="J52">
            <v>0.000914658546925031</v>
          </cell>
        </row>
        <row r="56">
          <cell r="J56">
            <v>0.0002676189407520671</v>
          </cell>
        </row>
        <row r="62">
          <cell r="J62">
            <v>0.0003970594502318674</v>
          </cell>
        </row>
        <row r="67">
          <cell r="J67">
            <v>0.0009141165543300954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140625" style="0" customWidth="1"/>
    <col min="2" max="2" width="12.421875" style="0" bestFit="1" customWidth="1"/>
    <col min="4" max="4" width="9.57421875" style="0" customWidth="1"/>
  </cols>
  <sheetData>
    <row r="1" ht="12.75">
      <c r="A1" s="1" t="s">
        <v>132</v>
      </c>
    </row>
    <row r="3" ht="12.75">
      <c r="A3" t="s">
        <v>25</v>
      </c>
    </row>
    <row r="4" ht="12.75">
      <c r="A4" t="s">
        <v>131</v>
      </c>
    </row>
    <row r="5" ht="12.75">
      <c r="A5" t="s">
        <v>58</v>
      </c>
    </row>
    <row r="6" ht="12.75">
      <c r="A6" t="s">
        <v>59</v>
      </c>
    </row>
    <row r="9" ht="15.75">
      <c r="A9" s="76" t="s">
        <v>1</v>
      </c>
    </row>
    <row r="10" spans="3:7" ht="12.75">
      <c r="C10" t="s">
        <v>5</v>
      </c>
      <c r="G10" s="1" t="s">
        <v>61</v>
      </c>
    </row>
    <row r="11" spans="2:4" ht="12.75">
      <c r="B11" s="2" t="s">
        <v>86</v>
      </c>
      <c r="C11" s="2" t="s">
        <v>87</v>
      </c>
      <c r="D11" s="2" t="s">
        <v>88</v>
      </c>
    </row>
    <row r="12" spans="2:4" ht="12.75">
      <c r="B12" s="2" t="s">
        <v>0</v>
      </c>
      <c r="C12" s="2" t="s">
        <v>4</v>
      </c>
      <c r="D12" s="2" t="s">
        <v>3</v>
      </c>
    </row>
    <row r="13" spans="1:13" ht="15.75">
      <c r="A13" s="2" t="s">
        <v>137</v>
      </c>
      <c r="B13" s="40">
        <v>2268</v>
      </c>
      <c r="C13" s="40">
        <f>D13-B13</f>
        <v>13640</v>
      </c>
      <c r="D13" s="40">
        <v>15908</v>
      </c>
      <c r="G13" s="69" t="s">
        <v>130</v>
      </c>
      <c r="H13" s="69"/>
      <c r="I13" s="69"/>
      <c r="J13" s="69"/>
      <c r="K13" s="69"/>
      <c r="L13" s="69"/>
      <c r="M13" s="69"/>
    </row>
    <row r="14" spans="1:13" ht="12.75">
      <c r="A14" s="2" t="s">
        <v>36</v>
      </c>
      <c r="B14" s="40">
        <v>2284</v>
      </c>
      <c r="C14" s="40">
        <f>D14-B14</f>
        <v>13920</v>
      </c>
      <c r="D14" s="40">
        <v>16204</v>
      </c>
      <c r="G14" s="69" t="s">
        <v>6</v>
      </c>
      <c r="H14" s="69"/>
      <c r="I14" s="69"/>
      <c r="J14" s="69"/>
      <c r="K14" s="69"/>
      <c r="L14" s="69"/>
      <c r="M14" s="69"/>
    </row>
    <row r="15" spans="1:13" ht="12.75">
      <c r="A15" s="2" t="s">
        <v>138</v>
      </c>
      <c r="B15" s="40">
        <v>2451</v>
      </c>
      <c r="C15" s="40">
        <f>D15-B15</f>
        <v>14276</v>
      </c>
      <c r="D15" s="40">
        <v>16727</v>
      </c>
      <c r="G15" s="69"/>
      <c r="H15" s="69"/>
      <c r="I15" s="69"/>
      <c r="J15" s="69"/>
      <c r="K15" s="69"/>
      <c r="L15" s="69"/>
      <c r="M15" s="69"/>
    </row>
    <row r="16" spans="1:4" ht="12.75">
      <c r="A16" s="2" t="s">
        <v>139</v>
      </c>
      <c r="B16" s="40">
        <v>2280</v>
      </c>
      <c r="C16" s="40">
        <f>D16-B16</f>
        <v>14135</v>
      </c>
      <c r="D16" s="40">
        <v>16415</v>
      </c>
    </row>
    <row r="17" spans="1:4" ht="12.75">
      <c r="A17" s="2" t="s">
        <v>37</v>
      </c>
      <c r="B17" s="40">
        <v>2291</v>
      </c>
      <c r="C17" s="40">
        <f>D17-B17</f>
        <v>13551</v>
      </c>
      <c r="D17" s="40">
        <v>15842</v>
      </c>
    </row>
    <row r="19" spans="1:13" ht="12.75">
      <c r="A19" s="11" t="s">
        <v>2</v>
      </c>
      <c r="B19" s="3">
        <f>AVERAGE(B13:B17)</f>
        <v>2314.8</v>
      </c>
      <c r="C19" s="3">
        <f>AVERAGE(C13:C17)</f>
        <v>13904.4</v>
      </c>
      <c r="D19" s="3">
        <f>AVERAGE(D13:D17)</f>
        <v>16219.2</v>
      </c>
      <c r="G19" s="69" t="s">
        <v>60</v>
      </c>
      <c r="H19" s="69"/>
      <c r="I19" s="69"/>
      <c r="J19" s="69"/>
      <c r="K19" s="69"/>
      <c r="L19" s="69"/>
      <c r="M19" s="69"/>
    </row>
    <row r="21" spans="1:13" ht="18.75">
      <c r="A21" s="76" t="s">
        <v>140</v>
      </c>
      <c r="G21" s="69" t="s">
        <v>35</v>
      </c>
      <c r="H21" s="69"/>
      <c r="I21" s="69"/>
      <c r="J21" s="69"/>
      <c r="K21" s="69"/>
      <c r="L21" s="69"/>
      <c r="M21" s="69"/>
    </row>
    <row r="23" spans="2:5" ht="12.75">
      <c r="B23" s="92" t="s">
        <v>129</v>
      </c>
      <c r="C23" s="94"/>
      <c r="D23" s="94"/>
      <c r="E23" s="2" t="s">
        <v>115</v>
      </c>
    </row>
    <row r="24" spans="2:13" ht="15.75">
      <c r="B24" s="8" t="s">
        <v>39</v>
      </c>
      <c r="C24" s="8" t="s">
        <v>38</v>
      </c>
      <c r="D24" s="11" t="s">
        <v>41</v>
      </c>
      <c r="E24" s="11" t="s">
        <v>42</v>
      </c>
      <c r="G24" s="69" t="s">
        <v>83</v>
      </c>
      <c r="H24" s="69"/>
      <c r="I24" s="69"/>
      <c r="J24" s="69"/>
      <c r="K24" s="69"/>
      <c r="L24" s="69"/>
      <c r="M24" s="69"/>
    </row>
    <row r="25" spans="1:5" ht="12.75">
      <c r="A25" s="2" t="s">
        <v>137</v>
      </c>
      <c r="B25" s="44">
        <f>'Upper soil'!C6</f>
        <v>0.0415785706167851</v>
      </c>
      <c r="C25" s="44">
        <f>'Upper soil'!C7</f>
        <v>0.05859086476086206</v>
      </c>
      <c r="D25" s="44">
        <f>B25-C25</f>
        <v>-0.017012294144076963</v>
      </c>
      <c r="E25" s="42" t="str">
        <f>'Upper soil'!M6</f>
        <v>&lt;0.005</v>
      </c>
    </row>
    <row r="26" spans="1:5" ht="12.75">
      <c r="A26" s="2" t="s">
        <v>36</v>
      </c>
      <c r="B26" s="44"/>
      <c r="C26" s="44"/>
      <c r="D26" s="44"/>
      <c r="E26" s="42"/>
    </row>
    <row r="27" spans="1:5" ht="12.75">
      <c r="A27" s="2" t="s">
        <v>138</v>
      </c>
      <c r="B27" s="44">
        <f>'Upper soil'!C10</f>
        <v>0.04082364169667614</v>
      </c>
      <c r="C27" s="44">
        <f>'Upper soil'!C11</f>
        <v>0.03608784518412525</v>
      </c>
      <c r="D27" s="44">
        <f>B27-C27</f>
        <v>0.004735796512550891</v>
      </c>
      <c r="E27" s="42" t="str">
        <f>'Upper soil'!M10</f>
        <v>~0.14</v>
      </c>
    </row>
    <row r="28" spans="1:5" ht="12.75">
      <c r="A28" s="2" t="s">
        <v>139</v>
      </c>
      <c r="B28" s="44">
        <f>'Upper soil'!C12</f>
        <v>0.03905981470523796</v>
      </c>
      <c r="C28" s="44">
        <f>'Upper soil'!C13</f>
        <v>0.03744166239349487</v>
      </c>
      <c r="D28" s="44">
        <f>B28-C28</f>
        <v>0.0016181523117430874</v>
      </c>
      <c r="E28" s="42" t="str">
        <f>'Upper soil'!M12</f>
        <v>&gt;0.50</v>
      </c>
    </row>
    <row r="29" spans="1:5" ht="12.75">
      <c r="A29" s="2" t="s">
        <v>37</v>
      </c>
      <c r="B29" s="44">
        <f>'Upper soil'!C14</f>
        <v>0.03594477775290094</v>
      </c>
      <c r="C29" s="44">
        <f>'Upper soil'!C15</f>
        <v>0.02308111499567217</v>
      </c>
      <c r="D29" s="44">
        <f>B29-C29</f>
        <v>0.01286366275722877</v>
      </c>
      <c r="E29" s="42" t="str">
        <f>'Upper soil'!M14</f>
        <v>~0.04</v>
      </c>
    </row>
    <row r="30" spans="1:4" ht="12.75">
      <c r="A30" s="39"/>
      <c r="B30" s="18"/>
      <c r="C30" s="18"/>
      <c r="D30" s="18"/>
    </row>
    <row r="31" spans="1:5" ht="12.75">
      <c r="A31" s="11"/>
      <c r="B31" s="92" t="s">
        <v>128</v>
      </c>
      <c r="C31" s="94"/>
      <c r="D31" s="94"/>
      <c r="E31" s="2" t="s">
        <v>115</v>
      </c>
    </row>
    <row r="32" spans="1:13" ht="15.75">
      <c r="A32" s="11"/>
      <c r="B32" s="8" t="s">
        <v>39</v>
      </c>
      <c r="C32" s="8" t="s">
        <v>38</v>
      </c>
      <c r="D32" s="11" t="s">
        <v>41</v>
      </c>
      <c r="E32" s="11" t="s">
        <v>82</v>
      </c>
      <c r="G32" s="69" t="s">
        <v>84</v>
      </c>
      <c r="H32" s="69"/>
      <c r="I32" s="69"/>
      <c r="J32" s="69"/>
      <c r="K32" s="69"/>
      <c r="L32" s="69"/>
      <c r="M32" s="69"/>
    </row>
    <row r="33" spans="1:5" ht="12.75">
      <c r="A33" s="2" t="s">
        <v>137</v>
      </c>
      <c r="B33" s="44">
        <f>'Lower soil'!$C$6</f>
        <v>0.005596919825088945</v>
      </c>
      <c r="C33" s="44">
        <f>'Lower soil'!$C$7</f>
        <v>0.008504605041361243</v>
      </c>
      <c r="D33" s="44">
        <f>C33-B33</f>
        <v>0.002907685216272298</v>
      </c>
      <c r="E33" s="42" t="str">
        <f>'Lower soil'!K6</f>
        <v>&lt;0.001</v>
      </c>
    </row>
    <row r="34" spans="1:5" ht="12.75">
      <c r="A34" s="2" t="s">
        <v>36</v>
      </c>
      <c r="B34" s="44"/>
      <c r="C34" s="44"/>
      <c r="D34" s="44"/>
      <c r="E34" s="42"/>
    </row>
    <row r="35" spans="1:5" ht="12.75">
      <c r="A35" s="2" t="s">
        <v>138</v>
      </c>
      <c r="B35" s="44">
        <f>'Lower soil'!$C$10</f>
        <v>0.005596919825088945</v>
      </c>
      <c r="C35" s="44">
        <f>'Lower soil'!$C$11</f>
        <v>0.008344774597249083</v>
      </c>
      <c r="D35" s="44">
        <f>C35-B35</f>
        <v>0.002747854772160138</v>
      </c>
      <c r="E35" s="42" t="str">
        <f>'Lower soil'!K10</f>
        <v>&lt;0.001</v>
      </c>
    </row>
    <row r="36" spans="1:5" ht="12.75">
      <c r="A36" s="2" t="s">
        <v>139</v>
      </c>
      <c r="B36" s="44">
        <f>'Lower soil'!$C$12</f>
        <v>0.005596919825088945</v>
      </c>
      <c r="C36" s="44">
        <f>'Lower soil'!$C$13</f>
        <v>0.007652719825956677</v>
      </c>
      <c r="D36" s="44">
        <f>C36-B36</f>
        <v>0.002055800000867732</v>
      </c>
      <c r="E36" s="42" t="str">
        <f>'Lower soil'!K12</f>
        <v>&lt;0.001</v>
      </c>
    </row>
    <row r="37" spans="1:5" ht="12.75">
      <c r="A37" s="2" t="s">
        <v>37</v>
      </c>
      <c r="B37" s="44">
        <f>'Lower soil'!$C$14</f>
        <v>0.005596919825088945</v>
      </c>
      <c r="C37" s="44">
        <f>'Lower soil'!$C$15</f>
        <v>0.007063830537133464</v>
      </c>
      <c r="D37" s="44">
        <f>C37-B37</f>
        <v>0.001466910712044519</v>
      </c>
      <c r="E37" s="42" t="str">
        <f>'Lower soil'!K14</f>
        <v>&lt;0.001</v>
      </c>
    </row>
    <row r="38" spans="1:4" ht="12.75">
      <c r="A38" s="7"/>
      <c r="B38" s="18"/>
      <c r="C38" s="18"/>
      <c r="D38" s="18"/>
    </row>
    <row r="40" ht="18.75">
      <c r="A40" s="75" t="s">
        <v>143</v>
      </c>
    </row>
    <row r="41" ht="12.75">
      <c r="A41" s="19"/>
    </row>
    <row r="42" spans="1:6" ht="12.75">
      <c r="A42" s="19"/>
      <c r="B42" s="92" t="s">
        <v>129</v>
      </c>
      <c r="C42" s="92"/>
      <c r="D42" s="96"/>
      <c r="E42" s="2" t="s">
        <v>115</v>
      </c>
      <c r="F42" s="1" t="s">
        <v>147</v>
      </c>
    </row>
    <row r="43" spans="2:8" ht="14.25">
      <c r="B43" s="10" t="s">
        <v>116</v>
      </c>
      <c r="C43" s="10" t="s">
        <v>117</v>
      </c>
      <c r="D43" s="2" t="s">
        <v>120</v>
      </c>
      <c r="E43" s="2" t="s">
        <v>118</v>
      </c>
      <c r="F43" s="2" t="s">
        <v>146</v>
      </c>
      <c r="G43" s="2" t="s">
        <v>111</v>
      </c>
      <c r="H43" s="2" t="s">
        <v>112</v>
      </c>
    </row>
    <row r="44" spans="1:8" ht="12.75">
      <c r="A44" s="2" t="s">
        <v>137</v>
      </c>
      <c r="B44" s="45">
        <f aca="true" t="shared" si="0" ref="B44:C48">B25*$B$19*10</f>
        <v>962.4607526373416</v>
      </c>
      <c r="C44" s="45">
        <f t="shared" si="0"/>
        <v>1356.2613374844352</v>
      </c>
      <c r="D44" s="45">
        <f>C44-B44</f>
        <v>393.80058484709366</v>
      </c>
      <c r="E44" s="42" t="str">
        <f>E25</f>
        <v>&lt;0.005</v>
      </c>
      <c r="F44" s="45">
        <f>'Upper soil'!H6*$B$19*10</f>
        <v>93.36552234920873</v>
      </c>
      <c r="G44" s="45">
        <f>D44-F44</f>
        <v>300.4350624978849</v>
      </c>
      <c r="H44" s="45">
        <f>D44+F44</f>
        <v>487.1661071963024</v>
      </c>
    </row>
    <row r="45" spans="1:8" ht="12.75">
      <c r="A45" s="2" t="s">
        <v>36</v>
      </c>
      <c r="B45" s="45"/>
      <c r="C45" s="45"/>
      <c r="D45" s="45"/>
      <c r="E45" s="42"/>
      <c r="F45" s="40"/>
      <c r="G45" s="40"/>
      <c r="H45" s="40"/>
    </row>
    <row r="46" spans="1:12" ht="12.75">
      <c r="A46" s="2" t="s">
        <v>138</v>
      </c>
      <c r="B46" s="45">
        <f t="shared" si="0"/>
        <v>944.9856579946594</v>
      </c>
      <c r="C46" s="45">
        <f t="shared" si="0"/>
        <v>835.3614403221313</v>
      </c>
      <c r="D46" s="45">
        <f>C46-B46</f>
        <v>-109.62421767252806</v>
      </c>
      <c r="E46" s="42" t="str">
        <f>E27</f>
        <v>~0.14</v>
      </c>
      <c r="F46" s="45">
        <f>'Upper soil'!H10*$B$19*10</f>
        <v>69.98735224085038</v>
      </c>
      <c r="G46" s="45">
        <f>D46-F46</f>
        <v>-179.61156991337845</v>
      </c>
      <c r="H46" s="45">
        <f>D46+F46</f>
        <v>-39.63686543167768</v>
      </c>
      <c r="K46" s="2" t="s">
        <v>88</v>
      </c>
      <c r="L46" s="2" t="s">
        <v>150</v>
      </c>
    </row>
    <row r="47" spans="1:12" ht="12.75">
      <c r="A47" s="2" t="s">
        <v>139</v>
      </c>
      <c r="B47" s="45">
        <f t="shared" si="0"/>
        <v>904.1565907968483</v>
      </c>
      <c r="C47" s="45">
        <f t="shared" si="0"/>
        <v>866.6996010846194</v>
      </c>
      <c r="D47" s="45">
        <f>C47-B47</f>
        <v>-37.45698971222885</v>
      </c>
      <c r="E47" s="42" t="str">
        <f>E28</f>
        <v>&gt;0.50</v>
      </c>
      <c r="F47" s="45">
        <f>'Upper soil'!H12*$B$19*10</f>
        <v>50.41550568586233</v>
      </c>
      <c r="G47" s="45">
        <f>D47-F47</f>
        <v>-87.87249539809117</v>
      </c>
      <c r="H47" s="45">
        <f>D47+F47</f>
        <v>12.958515973633482</v>
      </c>
      <c r="K47" s="2" t="s">
        <v>126</v>
      </c>
      <c r="L47" s="2" t="s">
        <v>19</v>
      </c>
    </row>
    <row r="48" spans="1:12" ht="12.75">
      <c r="A48" s="2" t="s">
        <v>37</v>
      </c>
      <c r="B48" s="45">
        <f t="shared" si="0"/>
        <v>832.0497154241511</v>
      </c>
      <c r="C48" s="45">
        <f t="shared" si="0"/>
        <v>534.2816499198194</v>
      </c>
      <c r="D48" s="45">
        <f>C48-B48</f>
        <v>-297.76806550433173</v>
      </c>
      <c r="E48" s="42" t="str">
        <f>E29</f>
        <v>~0.04</v>
      </c>
      <c r="F48" s="45">
        <f>'Upper soil'!H14*$B$19*10</f>
        <v>102.72453887966066</v>
      </c>
      <c r="G48" s="45">
        <f>D48-F48</f>
        <v>-400.4926043839924</v>
      </c>
      <c r="H48" s="45">
        <f>D48+F48</f>
        <v>-195.04352662467107</v>
      </c>
      <c r="J48" s="2" t="s">
        <v>137</v>
      </c>
      <c r="K48" s="45">
        <f>D44+D52</f>
        <v>798.096768058459</v>
      </c>
      <c r="L48" s="45">
        <f>SQRT(F44^2+F52^2)</f>
        <v>101.12597138396599</v>
      </c>
    </row>
    <row r="49" spans="10:12" ht="12.75">
      <c r="J49" s="2" t="s">
        <v>36</v>
      </c>
      <c r="K49" s="45"/>
      <c r="L49" s="45"/>
    </row>
    <row r="50" spans="2:12" ht="12.75">
      <c r="B50" s="92" t="s">
        <v>128</v>
      </c>
      <c r="C50" s="94"/>
      <c r="D50" s="94"/>
      <c r="E50" s="2"/>
      <c r="G50" s="1"/>
      <c r="J50" s="2" t="s">
        <v>138</v>
      </c>
      <c r="K50" s="45">
        <f>D46+D54</f>
        <v>272.4485012677061</v>
      </c>
      <c r="L50" s="45">
        <f>SQRT(F46^2+F54^2)</f>
        <v>82.74452763968276</v>
      </c>
    </row>
    <row r="51" spans="2:12" ht="14.25">
      <c r="B51" s="10" t="s">
        <v>116</v>
      </c>
      <c r="C51" s="10" t="s">
        <v>117</v>
      </c>
      <c r="D51" s="2" t="s">
        <v>120</v>
      </c>
      <c r="E51" s="2" t="s">
        <v>119</v>
      </c>
      <c r="F51" s="2" t="s">
        <v>146</v>
      </c>
      <c r="G51" s="2" t="s">
        <v>111</v>
      </c>
      <c r="H51" s="2" t="s">
        <v>112</v>
      </c>
      <c r="J51" s="2" t="s">
        <v>139</v>
      </c>
      <c r="K51" s="45">
        <f>D47+D55</f>
        <v>248.38966560842402</v>
      </c>
      <c r="L51" s="45">
        <f>SQRT(F47^2+F55^2)</f>
        <v>61.16133657257262</v>
      </c>
    </row>
    <row r="52" spans="1:12" ht="12.75">
      <c r="A52" s="2" t="s">
        <v>137</v>
      </c>
      <c r="B52" s="45">
        <f>$C$19*B33*10</f>
        <v>778.2181201596673</v>
      </c>
      <c r="C52" s="45">
        <f>$C$19*C33*10</f>
        <v>1182.5143033710326</v>
      </c>
      <c r="D52" s="45">
        <f>C52-B52</f>
        <v>404.29618321136536</v>
      </c>
      <c r="E52" s="42" t="str">
        <f>E33</f>
        <v>&lt;0.001</v>
      </c>
      <c r="F52" s="45">
        <f>'Lower soil'!H6*$C$19*10</f>
        <v>38.850242274793004</v>
      </c>
      <c r="G52" s="45">
        <f>D52-F52</f>
        <v>365.44594093657236</v>
      </c>
      <c r="H52" s="45">
        <f>D52+F52</f>
        <v>443.14642548615836</v>
      </c>
      <c r="J52" s="2" t="s">
        <v>37</v>
      </c>
      <c r="K52" s="45">
        <f>D48+D56</f>
        <v>-93.80293245881364</v>
      </c>
      <c r="L52" s="45">
        <f>SQRT(F48^2+F56^2)</f>
        <v>110.06775507202674</v>
      </c>
    </row>
    <row r="53" spans="1:8" ht="12.75">
      <c r="A53" s="2" t="s">
        <v>36</v>
      </c>
      <c r="B53" s="45"/>
      <c r="C53" s="45"/>
      <c r="D53" s="45"/>
      <c r="E53" s="42"/>
      <c r="F53" s="45"/>
      <c r="G53" s="40"/>
      <c r="H53" s="40"/>
    </row>
    <row r="54" spans="1:8" ht="12.75">
      <c r="A54" s="2" t="s">
        <v>138</v>
      </c>
      <c r="B54" s="45">
        <f aca="true" t="shared" si="1" ref="B54:C56">$C$19*B35*10</f>
        <v>778.2181201596673</v>
      </c>
      <c r="C54" s="45">
        <f t="shared" si="1"/>
        <v>1160.2908390999014</v>
      </c>
      <c r="D54" s="45">
        <f>C54-B54</f>
        <v>382.07271894023415</v>
      </c>
      <c r="E54" s="42" t="str">
        <f>E35</f>
        <v>&lt;0.001</v>
      </c>
      <c r="F54" s="45">
        <f>'Lower soil'!H10*$C$19*10</f>
        <v>44.14099433213256</v>
      </c>
      <c r="G54" s="45">
        <f>D54-F54</f>
        <v>337.9317246081016</v>
      </c>
      <c r="H54" s="45">
        <f>D54+F54</f>
        <v>426.2137132723667</v>
      </c>
    </row>
    <row r="55" spans="1:8" ht="12.75">
      <c r="A55" s="2" t="s">
        <v>139</v>
      </c>
      <c r="B55" s="45">
        <f t="shared" si="1"/>
        <v>778.2181201596673</v>
      </c>
      <c r="C55" s="45">
        <f t="shared" si="1"/>
        <v>1064.0647754803201</v>
      </c>
      <c r="D55" s="45">
        <f>C55-B55</f>
        <v>285.84665532065287</v>
      </c>
      <c r="E55" s="42" t="str">
        <f>E36</f>
        <v>&lt;0.001</v>
      </c>
      <c r="F55" s="45">
        <f>'Lower soil'!H12*$C$19*10</f>
        <v>34.626375464121175</v>
      </c>
      <c r="G55" s="45">
        <f>D55-F55</f>
        <v>251.2202798565317</v>
      </c>
      <c r="H55" s="45">
        <f>D55+F55</f>
        <v>320.47303078477404</v>
      </c>
    </row>
    <row r="56" spans="1:8" ht="12.75">
      <c r="A56" s="2" t="s">
        <v>37</v>
      </c>
      <c r="B56" s="45">
        <f t="shared" si="1"/>
        <v>778.2181201596673</v>
      </c>
      <c r="C56" s="45">
        <f t="shared" si="1"/>
        <v>982.1832532051853</v>
      </c>
      <c r="D56" s="45">
        <f>C56-B56</f>
        <v>203.9651330455181</v>
      </c>
      <c r="E56" s="42" t="str">
        <f>E37</f>
        <v>&lt;0.001</v>
      </c>
      <c r="F56" s="45">
        <f>'Lower soil'!H14*$C$19*10</f>
        <v>39.52948037296664</v>
      </c>
      <c r="G56" s="45">
        <f>D56-F56</f>
        <v>164.43565267255144</v>
      </c>
      <c r="H56" s="45">
        <f>D56+F56</f>
        <v>243.49461341848473</v>
      </c>
    </row>
    <row r="58" spans="1:11" ht="18.75">
      <c r="A58" s="75" t="s">
        <v>142</v>
      </c>
      <c r="F58" s="92" t="s">
        <v>122</v>
      </c>
      <c r="G58" s="93"/>
      <c r="H58" s="93"/>
      <c r="I58" s="93"/>
      <c r="J58" s="93"/>
      <c r="K58" s="94"/>
    </row>
    <row r="59" spans="3:11" ht="12.75">
      <c r="C59" s="2" t="s">
        <v>86</v>
      </c>
      <c r="D59" s="2" t="s">
        <v>87</v>
      </c>
      <c r="F59" s="92" t="s">
        <v>40</v>
      </c>
      <c r="G59" s="94"/>
      <c r="H59" s="94"/>
      <c r="I59" s="92" t="s">
        <v>66</v>
      </c>
      <c r="J59" s="94"/>
      <c r="K59" s="94"/>
    </row>
    <row r="60" spans="2:11" ht="14.25">
      <c r="B60" s="2" t="s">
        <v>85</v>
      </c>
      <c r="C60" s="2" t="s">
        <v>126</v>
      </c>
      <c r="D60" s="2" t="s">
        <v>126</v>
      </c>
      <c r="F60" s="2" t="s">
        <v>146</v>
      </c>
      <c r="G60" s="2" t="s">
        <v>111</v>
      </c>
      <c r="H60" s="2" t="s">
        <v>112</v>
      </c>
      <c r="I60" s="2" t="s">
        <v>146</v>
      </c>
      <c r="J60" s="2" t="s">
        <v>111</v>
      </c>
      <c r="K60" s="2" t="s">
        <v>112</v>
      </c>
    </row>
    <row r="61" spans="1:11" ht="12.75">
      <c r="A61" s="2" t="s">
        <v>137</v>
      </c>
      <c r="B61" s="46">
        <v>3.8</v>
      </c>
      <c r="C61" s="45">
        <f>D44/B61</f>
        <v>103.63173285449834</v>
      </c>
      <c r="D61" s="45">
        <f>D52/B61</f>
        <v>106.39373242404352</v>
      </c>
      <c r="E61" s="45">
        <f>C61+D61</f>
        <v>210.02546527854184</v>
      </c>
      <c r="F61" s="45">
        <f>F44/B61</f>
        <v>24.56987430242335</v>
      </c>
      <c r="G61" s="45">
        <f>G44/B61</f>
        <v>79.06185855207498</v>
      </c>
      <c r="H61" s="45">
        <f>H44/B61</f>
        <v>128.20160715692168</v>
      </c>
      <c r="I61" s="45">
        <f>F52/B61</f>
        <v>10.223747967050791</v>
      </c>
      <c r="J61" s="45">
        <f>G52/B61</f>
        <v>96.16998445699274</v>
      </c>
      <c r="K61" s="45">
        <f>H52/B61</f>
        <v>116.61748039109432</v>
      </c>
    </row>
    <row r="62" spans="1:11" ht="12.75">
      <c r="A62" s="2" t="s">
        <v>36</v>
      </c>
      <c r="B62" s="46">
        <v>4.8</v>
      </c>
      <c r="C62" s="45"/>
      <c r="D62" s="45"/>
      <c r="E62" s="45"/>
      <c r="F62" s="45"/>
      <c r="G62" s="45"/>
      <c r="H62" s="45"/>
      <c r="I62" s="45"/>
      <c r="J62" s="45"/>
      <c r="K62" s="45"/>
    </row>
    <row r="63" spans="1:11" ht="12.75">
      <c r="A63" s="2" t="s">
        <v>138</v>
      </c>
      <c r="B63" s="46">
        <v>3.9</v>
      </c>
      <c r="C63" s="45">
        <f>D46/B63</f>
        <v>-28.108773762186683</v>
      </c>
      <c r="D63" s="45">
        <f>D54/B63</f>
        <v>97.96736383082927</v>
      </c>
      <c r="E63" s="45">
        <f>C63+D63</f>
        <v>69.85859006864258</v>
      </c>
      <c r="F63" s="45">
        <f>F46/B63</f>
        <v>17.94547493355138</v>
      </c>
      <c r="G63" s="45">
        <f>G46/B63</f>
        <v>-46.05424869573807</v>
      </c>
      <c r="H63" s="45">
        <f>H46/B63</f>
        <v>-10.163298828635302</v>
      </c>
      <c r="I63" s="45">
        <f>F54/B63</f>
        <v>11.318203674905783</v>
      </c>
      <c r="J63" s="45">
        <f>G54/B63</f>
        <v>86.6491601559235</v>
      </c>
      <c r="K63" s="45">
        <f>H54/B63</f>
        <v>109.28556750573506</v>
      </c>
    </row>
    <row r="64" spans="1:13" ht="12.75">
      <c r="A64" s="2" t="s">
        <v>139</v>
      </c>
      <c r="B64" s="46">
        <v>3.9</v>
      </c>
      <c r="C64" s="45">
        <f>D47/B64</f>
        <v>-9.604356336468935</v>
      </c>
      <c r="D64" s="45">
        <f>D55/B64</f>
        <v>73.2940141847828</v>
      </c>
      <c r="E64" s="45">
        <f>C64+D64</f>
        <v>63.68965784831386</v>
      </c>
      <c r="F64" s="45">
        <f>F47/B64</f>
        <v>12.927052739964699</v>
      </c>
      <c r="G64" s="45">
        <f>G47/B64</f>
        <v>-22.531409076433636</v>
      </c>
      <c r="H64" s="45">
        <f>H47/B64</f>
        <v>3.3226964034957645</v>
      </c>
      <c r="I64" s="45">
        <f>F55/B64</f>
        <v>8.878557811313122</v>
      </c>
      <c r="J64" s="45">
        <f>G55/B64</f>
        <v>64.41545637346967</v>
      </c>
      <c r="K64" s="45">
        <f>H55/B64</f>
        <v>82.17257199609591</v>
      </c>
      <c r="M64" s="91"/>
    </row>
    <row r="65" spans="1:11" ht="12.75">
      <c r="A65" s="2" t="s">
        <v>37</v>
      </c>
      <c r="B65" s="46">
        <v>3</v>
      </c>
      <c r="C65" s="45">
        <f>D48/B65</f>
        <v>-99.25602183477724</v>
      </c>
      <c r="D65" s="45">
        <f>D56/B65</f>
        <v>67.98837768183937</v>
      </c>
      <c r="E65" s="45">
        <f>C65+D65</f>
        <v>-31.267644152937876</v>
      </c>
      <c r="F65" s="45">
        <f>F48/B65</f>
        <v>34.24151295988688</v>
      </c>
      <c r="G65" s="45">
        <f>G48/B65</f>
        <v>-133.49753479466412</v>
      </c>
      <c r="H65" s="45">
        <f>H48/B65</f>
        <v>-65.01450887489035</v>
      </c>
      <c r="I65" s="45">
        <f>F56/B65</f>
        <v>13.176493457655546</v>
      </c>
      <c r="J65" s="45">
        <f>G56/B65</f>
        <v>54.811884224183814</v>
      </c>
      <c r="K65" s="45">
        <f>H56/B65</f>
        <v>81.1648711394949</v>
      </c>
    </row>
    <row r="67" ht="15.75">
      <c r="A67" s="76" t="s">
        <v>133</v>
      </c>
    </row>
    <row r="68" spans="1:2" ht="12.75">
      <c r="A68" s="1"/>
      <c r="B68" t="s">
        <v>134</v>
      </c>
    </row>
    <row r="69" spans="1:2" ht="12.75">
      <c r="A69" s="1"/>
      <c r="B69" t="s">
        <v>135</v>
      </c>
    </row>
    <row r="70" ht="12.75">
      <c r="A70" s="1"/>
    </row>
    <row r="71" spans="1:7" ht="12.75">
      <c r="A71" s="1"/>
      <c r="C71" s="1" t="s">
        <v>136</v>
      </c>
      <c r="G71" s="1" t="s">
        <v>123</v>
      </c>
    </row>
    <row r="72" spans="3:8" ht="12.75">
      <c r="C72" s="2" t="s">
        <v>86</v>
      </c>
      <c r="D72" s="2" t="s">
        <v>87</v>
      </c>
      <c r="E72" s="2" t="s">
        <v>88</v>
      </c>
      <c r="G72" s="92" t="s">
        <v>127</v>
      </c>
      <c r="H72" s="92"/>
    </row>
    <row r="73" spans="3:8" ht="12.75">
      <c r="C73" s="2" t="s">
        <v>126</v>
      </c>
      <c r="D73" s="2" t="s">
        <v>126</v>
      </c>
      <c r="E73" s="2" t="s">
        <v>126</v>
      </c>
      <c r="G73" s="2" t="s">
        <v>111</v>
      </c>
      <c r="H73" s="2" t="s">
        <v>112</v>
      </c>
    </row>
    <row r="74" spans="1:8" ht="12.75">
      <c r="A74" s="2" t="s">
        <v>137</v>
      </c>
      <c r="C74" s="45">
        <f>(H44-G44)/2/B61</f>
        <v>24.56987430242335</v>
      </c>
      <c r="D74" s="45">
        <f>(H52-G52)/2/B61</f>
        <v>10.223747967050791</v>
      </c>
      <c r="E74" s="45">
        <f>SQRT(C74^2+D74^2)</f>
        <v>26.61209773262263</v>
      </c>
      <c r="G74" s="72">
        <f>E61-E74</f>
        <v>183.41336754591921</v>
      </c>
      <c r="H74" s="72">
        <f>E61+E74</f>
        <v>236.63756301116447</v>
      </c>
    </row>
    <row r="75" spans="1:8" ht="12.75">
      <c r="A75" s="2" t="s">
        <v>36</v>
      </c>
      <c r="C75" s="40"/>
      <c r="D75" s="40"/>
      <c r="E75" s="40"/>
      <c r="G75" s="73"/>
      <c r="H75" s="73"/>
    </row>
    <row r="76" spans="1:8" ht="12.75">
      <c r="A76" s="2" t="s">
        <v>138</v>
      </c>
      <c r="C76" s="45">
        <f>(H46-G46)/2/B63</f>
        <v>17.94547493355138</v>
      </c>
      <c r="D76" s="45">
        <f>(H54-G54)/2/B63</f>
        <v>11.318203674905781</v>
      </c>
      <c r="E76" s="45">
        <f>SQRT(C76^2+D76^2)</f>
        <v>21.216545548636603</v>
      </c>
      <c r="G76" s="72">
        <f>E63-E76</f>
        <v>48.64204452000598</v>
      </c>
      <c r="H76" s="72">
        <f>E63+E76</f>
        <v>91.07513561727919</v>
      </c>
    </row>
    <row r="77" spans="1:8" ht="12.75">
      <c r="A77" s="2" t="s">
        <v>139</v>
      </c>
      <c r="C77" s="45">
        <f>(H47-G47)/2/B64</f>
        <v>12.927052739964699</v>
      </c>
      <c r="D77" s="45">
        <f>(H55-G55)/2/B64</f>
        <v>8.87855781131312</v>
      </c>
      <c r="E77" s="45">
        <f>SQRT(C77^2+D77^2)</f>
        <v>15.682393992967338</v>
      </c>
      <c r="G77" s="72">
        <f>E64-E77</f>
        <v>48.00726385534652</v>
      </c>
      <c r="H77" s="72">
        <f>E64+E77</f>
        <v>79.37205184128119</v>
      </c>
    </row>
    <row r="78" spans="1:8" ht="12.75">
      <c r="A78" s="2" t="s">
        <v>37</v>
      </c>
      <c r="C78" s="45">
        <f>(H48-G48)/2/B65</f>
        <v>34.24151295988688</v>
      </c>
      <c r="D78" s="45">
        <f>(H56-G56)/2/B65</f>
        <v>13.176493457655548</v>
      </c>
      <c r="E78" s="45">
        <f>SQRT(C78^2+D78^2)</f>
        <v>36.689251690675576</v>
      </c>
      <c r="G78" s="72">
        <f>E65-E78</f>
        <v>-67.95689584361345</v>
      </c>
      <c r="H78" s="72">
        <f>E65+E78</f>
        <v>5.4216075377376995</v>
      </c>
    </row>
    <row r="79" ht="12.75">
      <c r="A79" s="1"/>
    </row>
    <row r="80" ht="18.75">
      <c r="A80" s="76" t="s">
        <v>141</v>
      </c>
    </row>
    <row r="81" ht="12.75">
      <c r="A81" s="1"/>
    </row>
    <row r="82" spans="1:7" ht="12.75">
      <c r="A82" s="1"/>
      <c r="B82" s="92" t="s">
        <v>86</v>
      </c>
      <c r="C82" s="93"/>
      <c r="D82" s="92" t="s">
        <v>87</v>
      </c>
      <c r="E82" s="93"/>
      <c r="F82" s="92" t="s">
        <v>88</v>
      </c>
      <c r="G82" s="93"/>
    </row>
    <row r="83" spans="1:7" ht="12.75">
      <c r="A83" s="1"/>
      <c r="B83" s="2" t="s">
        <v>125</v>
      </c>
      <c r="C83" s="74" t="s">
        <v>124</v>
      </c>
      <c r="D83" s="2" t="s">
        <v>125</v>
      </c>
      <c r="E83" s="74" t="s">
        <v>124</v>
      </c>
      <c r="F83" s="2" t="s">
        <v>125</v>
      </c>
      <c r="G83" s="74" t="s">
        <v>124</v>
      </c>
    </row>
    <row r="84" spans="1:10" ht="12.75">
      <c r="A84" s="2" t="s">
        <v>137</v>
      </c>
      <c r="B84" s="45">
        <f>C61</f>
        <v>103.63173285449834</v>
      </c>
      <c r="C84" s="45">
        <f>C74</f>
        <v>24.56987430242335</v>
      </c>
      <c r="D84" s="45">
        <f>D61</f>
        <v>106.39373242404352</v>
      </c>
      <c r="E84" s="45">
        <f>D74</f>
        <v>10.223747967050791</v>
      </c>
      <c r="F84" s="45">
        <f>E61</f>
        <v>210.02546527854184</v>
      </c>
      <c r="G84" s="45">
        <f>E74</f>
        <v>26.61209773262263</v>
      </c>
      <c r="H84" s="6"/>
      <c r="I84" s="64"/>
      <c r="J84" s="64"/>
    </row>
    <row r="85" spans="1:10" ht="12.75">
      <c r="A85" s="2" t="s">
        <v>36</v>
      </c>
      <c r="B85" s="45"/>
      <c r="C85" s="45"/>
      <c r="D85" s="45"/>
      <c r="E85" s="45"/>
      <c r="F85" s="45"/>
      <c r="G85" s="45"/>
      <c r="H85" s="6"/>
      <c r="I85" s="64"/>
      <c r="J85" s="64"/>
    </row>
    <row r="86" spans="1:10" ht="12.75">
      <c r="A86" s="2" t="s">
        <v>138</v>
      </c>
      <c r="B86" s="45">
        <f>C63</f>
        <v>-28.108773762186683</v>
      </c>
      <c r="C86" s="45">
        <f>C76</f>
        <v>17.94547493355138</v>
      </c>
      <c r="D86" s="45">
        <f>D63</f>
        <v>97.96736383082927</v>
      </c>
      <c r="E86" s="45">
        <f>D76</f>
        <v>11.318203674905781</v>
      </c>
      <c r="F86" s="45">
        <f>E63</f>
        <v>69.85859006864258</v>
      </c>
      <c r="G86" s="45">
        <f>E76</f>
        <v>21.216545548636603</v>
      </c>
      <c r="H86" s="6"/>
      <c r="I86" s="64"/>
      <c r="J86" s="64"/>
    </row>
    <row r="87" spans="1:10" ht="12.75">
      <c r="A87" s="2" t="s">
        <v>139</v>
      </c>
      <c r="B87" s="45">
        <f>C64</f>
        <v>-9.604356336468935</v>
      </c>
      <c r="C87" s="45">
        <f>C77</f>
        <v>12.927052739964699</v>
      </c>
      <c r="D87" s="45">
        <f>D64</f>
        <v>73.2940141847828</v>
      </c>
      <c r="E87" s="45">
        <f>D77</f>
        <v>8.87855781131312</v>
      </c>
      <c r="F87" s="45">
        <f>E64</f>
        <v>63.68965784831386</v>
      </c>
      <c r="G87" s="45">
        <f>E77</f>
        <v>15.682393992967338</v>
      </c>
      <c r="H87" s="6"/>
      <c r="I87" s="64"/>
      <c r="J87" s="64"/>
    </row>
    <row r="88" spans="1:10" ht="12.75">
      <c r="A88" s="2" t="s">
        <v>37</v>
      </c>
      <c r="B88" s="45">
        <f>C65</f>
        <v>-99.25602183477724</v>
      </c>
      <c r="C88" s="45">
        <f>C78</f>
        <v>34.24151295988688</v>
      </c>
      <c r="D88" s="45">
        <f>D65</f>
        <v>67.98837768183937</v>
      </c>
      <c r="E88" s="45">
        <f>D78</f>
        <v>13.176493457655548</v>
      </c>
      <c r="F88" s="45">
        <f>E65</f>
        <v>-31.267644152937876</v>
      </c>
      <c r="G88" s="45">
        <f>E78</f>
        <v>36.689251690675576</v>
      </c>
      <c r="H88" s="6"/>
      <c r="I88" s="64"/>
      <c r="J88" s="64"/>
    </row>
    <row r="90" spans="1:10" ht="12.75">
      <c r="A90" s="82"/>
      <c r="B90" s="82"/>
      <c r="C90" s="82"/>
      <c r="D90" s="82"/>
      <c r="E90" s="82"/>
      <c r="F90" s="82"/>
      <c r="G90" s="82"/>
      <c r="H90" s="82"/>
      <c r="I90" s="82"/>
      <c r="J90" s="82"/>
    </row>
    <row r="91" spans="1:10" ht="12.75">
      <c r="A91" s="83"/>
      <c r="B91" s="84"/>
      <c r="C91" s="78"/>
      <c r="D91" s="79"/>
      <c r="E91" s="79"/>
      <c r="F91" s="80"/>
      <c r="G91" s="78"/>
      <c r="H91" s="79"/>
      <c r="I91" s="79"/>
      <c r="J91" s="80"/>
    </row>
    <row r="92" spans="1:10" ht="12.75">
      <c r="A92" s="81"/>
      <c r="B92" s="85"/>
      <c r="C92" s="78"/>
      <c r="D92" s="79"/>
      <c r="E92" s="79"/>
      <c r="F92" s="80"/>
      <c r="G92" s="78"/>
      <c r="H92" s="79"/>
      <c r="I92" s="79"/>
      <c r="J92" s="80"/>
    </row>
    <row r="93" spans="1:10" ht="12.75">
      <c r="A93" s="83"/>
      <c r="B93" s="86"/>
      <c r="C93" s="78"/>
      <c r="D93" s="79"/>
      <c r="E93" s="79"/>
      <c r="F93" s="80"/>
      <c r="G93" s="78"/>
      <c r="H93" s="79"/>
      <c r="I93" s="79"/>
      <c r="J93" s="80"/>
    </row>
    <row r="94" spans="1:10" ht="12.75">
      <c r="A94" s="83"/>
      <c r="B94" s="86"/>
      <c r="C94" s="78"/>
      <c r="D94" s="79"/>
      <c r="E94" s="87"/>
      <c r="F94" s="80"/>
      <c r="G94" s="78"/>
      <c r="H94" s="79"/>
      <c r="I94" s="87"/>
      <c r="J94" s="80"/>
    </row>
    <row r="95" spans="1:10" ht="12.75">
      <c r="A95" s="95"/>
      <c r="B95" s="84"/>
      <c r="C95" s="78"/>
      <c r="D95" s="79"/>
      <c r="E95" s="79"/>
      <c r="F95" s="80"/>
      <c r="G95" s="78"/>
      <c r="H95" s="79"/>
      <c r="I95" s="79"/>
      <c r="J95" s="80"/>
    </row>
    <row r="96" spans="1:10" ht="12.75">
      <c r="A96" s="95"/>
      <c r="B96" s="84"/>
      <c r="C96" s="78"/>
      <c r="D96" s="79"/>
      <c r="E96" s="79"/>
      <c r="F96" s="80"/>
      <c r="G96" s="78"/>
      <c r="H96" s="79"/>
      <c r="I96" s="79"/>
      <c r="J96" s="80"/>
    </row>
    <row r="97" spans="1:10" ht="12.75">
      <c r="A97" s="95"/>
      <c r="B97" s="84"/>
      <c r="C97" s="78"/>
      <c r="D97" s="79"/>
      <c r="E97" s="79"/>
      <c r="F97" s="80"/>
      <c r="G97" s="78"/>
      <c r="H97" s="79"/>
      <c r="I97" s="79"/>
      <c r="J97" s="80"/>
    </row>
    <row r="98" spans="1:10" ht="12.75">
      <c r="A98" s="95"/>
      <c r="B98" s="84"/>
      <c r="C98" s="78"/>
      <c r="D98" s="88"/>
      <c r="E98" s="88"/>
      <c r="F98" s="80"/>
      <c r="G98" s="78"/>
      <c r="H98" s="88"/>
      <c r="I98" s="88"/>
      <c r="J98" s="80"/>
    </row>
    <row r="99" spans="1:10" ht="12.75">
      <c r="A99" s="81"/>
      <c r="B99" s="84"/>
      <c r="C99" s="78"/>
      <c r="D99" s="79"/>
      <c r="E99" s="87"/>
      <c r="F99" s="80"/>
      <c r="G99" s="78"/>
      <c r="H99" s="79"/>
      <c r="I99" s="87"/>
      <c r="J99" s="80"/>
    </row>
    <row r="100" spans="1:10" ht="12.75">
      <c r="A100" s="81"/>
      <c r="B100" s="84"/>
      <c r="C100" s="78"/>
      <c r="D100" s="79"/>
      <c r="E100" s="79"/>
      <c r="F100" s="80"/>
      <c r="G100" s="78"/>
      <c r="H100" s="79"/>
      <c r="I100" s="79"/>
      <c r="J100" s="80"/>
    </row>
    <row r="101" spans="1:10" ht="12.75">
      <c r="A101" s="83"/>
      <c r="B101" s="84"/>
      <c r="C101" s="89"/>
      <c r="D101" s="79"/>
      <c r="E101" s="88"/>
      <c r="F101" s="90"/>
      <c r="G101" s="89"/>
      <c r="H101" s="79"/>
      <c r="I101" s="88"/>
      <c r="J101" s="90"/>
    </row>
    <row r="102" spans="1:10" ht="12.75">
      <c r="A102" s="83"/>
      <c r="B102" s="84"/>
      <c r="C102" s="89"/>
      <c r="D102" s="79"/>
      <c r="E102" s="79"/>
      <c r="F102" s="90"/>
      <c r="G102" s="89"/>
      <c r="H102" s="79"/>
      <c r="I102" s="79"/>
      <c r="J102" s="90"/>
    </row>
    <row r="103" spans="1:10" ht="12.75">
      <c r="A103" s="83"/>
      <c r="B103" s="84"/>
      <c r="C103" s="89"/>
      <c r="D103" s="79"/>
      <c r="E103" s="87"/>
      <c r="F103" s="90"/>
      <c r="G103" s="89"/>
      <c r="H103" s="79"/>
      <c r="I103" s="87"/>
      <c r="J103" s="90"/>
    </row>
    <row r="104" spans="1:10" ht="12.75">
      <c r="A104" s="82"/>
      <c r="B104" s="82"/>
      <c r="C104" s="82"/>
      <c r="D104" s="82"/>
      <c r="E104" s="82"/>
      <c r="F104" s="82"/>
      <c r="G104" s="82"/>
      <c r="H104" s="79"/>
      <c r="I104" s="88"/>
      <c r="J104" s="82"/>
    </row>
    <row r="105" spans="1:10" ht="12.75">
      <c r="A105" s="82"/>
      <c r="B105" s="82"/>
      <c r="C105" s="82"/>
      <c r="D105" s="82"/>
      <c r="E105" s="82"/>
      <c r="F105" s="82"/>
      <c r="G105" s="82"/>
      <c r="H105" s="82"/>
      <c r="I105" s="82"/>
      <c r="J105" s="82"/>
    </row>
    <row r="106" spans="1:10" ht="12.75">
      <c r="A106" s="82"/>
      <c r="B106" s="82"/>
      <c r="C106" s="82"/>
      <c r="D106" s="82"/>
      <c r="E106" s="82"/>
      <c r="F106" s="82"/>
      <c r="G106" s="82"/>
      <c r="H106" s="82"/>
      <c r="I106" s="82"/>
      <c r="J106" s="82"/>
    </row>
    <row r="107" spans="1:10" ht="12.75">
      <c r="A107" s="82"/>
      <c r="B107" s="82"/>
      <c r="C107" s="82"/>
      <c r="D107" s="82"/>
      <c r="E107" s="82"/>
      <c r="F107" s="82"/>
      <c r="G107" s="82"/>
      <c r="H107" s="82"/>
      <c r="I107" s="82"/>
      <c r="J107" s="82"/>
    </row>
    <row r="108" spans="1:10" ht="12.75">
      <c r="A108" s="82"/>
      <c r="B108" s="82"/>
      <c r="C108" s="82"/>
      <c r="D108" s="82"/>
      <c r="E108" s="82"/>
      <c r="F108" s="82"/>
      <c r="G108" s="82"/>
      <c r="H108" s="82"/>
      <c r="I108" s="82"/>
      <c r="J108" s="82"/>
    </row>
    <row r="109" spans="1:10" ht="12.75">
      <c r="A109" s="82"/>
      <c r="B109" s="82"/>
      <c r="C109" s="82"/>
      <c r="D109" s="82"/>
      <c r="E109" s="82"/>
      <c r="F109" s="82"/>
      <c r="G109" s="82"/>
      <c r="H109" s="82"/>
      <c r="I109" s="82"/>
      <c r="J109" s="82"/>
    </row>
    <row r="110" spans="1:10" ht="12.75">
      <c r="A110" s="82"/>
      <c r="B110" s="82"/>
      <c r="C110" s="82"/>
      <c r="D110" s="82"/>
      <c r="E110" s="82"/>
      <c r="F110" s="82"/>
      <c r="G110" s="82"/>
      <c r="H110" s="82"/>
      <c r="I110" s="82"/>
      <c r="J110" s="82"/>
    </row>
    <row r="111" spans="1:10" ht="12.75">
      <c r="A111" s="82"/>
      <c r="B111" s="82"/>
      <c r="C111" s="82"/>
      <c r="D111" s="82"/>
      <c r="E111" s="82"/>
      <c r="F111" s="82"/>
      <c r="G111" s="82"/>
      <c r="H111" s="82"/>
      <c r="I111" s="82"/>
      <c r="J111" s="82"/>
    </row>
    <row r="112" spans="1:10" ht="12.75">
      <c r="A112" s="82"/>
      <c r="B112" s="82"/>
      <c r="C112" s="82"/>
      <c r="D112" s="82"/>
      <c r="E112" s="82"/>
      <c r="F112" s="82"/>
      <c r="G112" s="82"/>
      <c r="H112" s="82"/>
      <c r="I112" s="82"/>
      <c r="J112" s="82"/>
    </row>
  </sheetData>
  <mergeCells count="13">
    <mergeCell ref="F59:H59"/>
    <mergeCell ref="I59:K59"/>
    <mergeCell ref="F58:K58"/>
    <mergeCell ref="B42:D42"/>
    <mergeCell ref="B50:D50"/>
    <mergeCell ref="B23:D23"/>
    <mergeCell ref="B31:D31"/>
    <mergeCell ref="A95:A96"/>
    <mergeCell ref="A97:A98"/>
    <mergeCell ref="G72:H72"/>
    <mergeCell ref="B82:C82"/>
    <mergeCell ref="D82:E82"/>
    <mergeCell ref="F82:G82"/>
  </mergeCells>
  <printOptions/>
  <pageMargins left="0.75" right="0.75" top="0.7" bottom="0.35" header="0.5" footer="0.38"/>
  <pageSetup fitToHeight="2" horizontalDpi="600" verticalDpi="600" orientation="portrait" scale="60" r:id="rId1"/>
  <headerFooter alignWithMargins="0">
    <oddHeader>&amp;L&amp;F&amp;C&amp;A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59"/>
  <sheetViews>
    <sheetView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3" max="3" width="12.421875" style="0" bestFit="1" customWidth="1"/>
  </cols>
  <sheetData>
    <row r="1" ht="18.75">
      <c r="A1" s="76" t="s">
        <v>144</v>
      </c>
    </row>
    <row r="2" ht="12.75">
      <c r="A2" s="1"/>
    </row>
    <row r="3" spans="1:2" ht="15.75">
      <c r="A3" s="77" t="s">
        <v>67</v>
      </c>
      <c r="B3" s="5"/>
    </row>
    <row r="4" spans="3:15" ht="12.75">
      <c r="C4" s="1"/>
      <c r="D4" s="1"/>
      <c r="E4" s="1"/>
      <c r="F4" s="1"/>
      <c r="G4" s="10" t="s">
        <v>44</v>
      </c>
      <c r="H4" s="92" t="s">
        <v>113</v>
      </c>
      <c r="I4" s="94"/>
      <c r="J4" s="94"/>
      <c r="K4" s="94"/>
      <c r="L4" s="97" t="s">
        <v>70</v>
      </c>
      <c r="M4" s="97"/>
      <c r="N4" s="97"/>
      <c r="O4" s="97"/>
    </row>
    <row r="5" spans="3:14" ht="12.75">
      <c r="C5" s="2" t="s">
        <v>8</v>
      </c>
      <c r="D5" s="2" t="s">
        <v>22</v>
      </c>
      <c r="E5" s="2" t="s">
        <v>43</v>
      </c>
      <c r="F5" s="2" t="s">
        <v>20</v>
      </c>
      <c r="G5" s="10" t="s">
        <v>94</v>
      </c>
      <c r="H5" s="2" t="s">
        <v>146</v>
      </c>
      <c r="I5" s="2" t="s">
        <v>111</v>
      </c>
      <c r="J5" s="2" t="s">
        <v>112</v>
      </c>
      <c r="K5" s="2" t="s">
        <v>45</v>
      </c>
      <c r="L5" s="2" t="s">
        <v>47</v>
      </c>
      <c r="M5" s="2" t="s">
        <v>46</v>
      </c>
      <c r="N5" s="1"/>
    </row>
    <row r="6" spans="2:15" ht="12.75">
      <c r="B6" s="38" t="s">
        <v>71</v>
      </c>
      <c r="C6" s="43">
        <f>C46</f>
        <v>0.0415785706167851</v>
      </c>
      <c r="D6" s="43">
        <f>D46</f>
        <v>0.010139492179042649</v>
      </c>
      <c r="E6" s="43">
        <f>C7-C6</f>
        <v>0.017012294144076963</v>
      </c>
      <c r="F6" s="40">
        <f>COUNT(B46:B58)</f>
        <v>13</v>
      </c>
      <c r="G6" s="43">
        <f>SQRT((((F6-1)*D6^2)+((F7-1)*D7^2))/(F6+F7-2))</f>
        <v>0.009486709506080469</v>
      </c>
      <c r="H6" s="43">
        <f>L6*G6/SQRT(F6+F7)</f>
        <v>0.004033416379350644</v>
      </c>
      <c r="I6" s="43">
        <f>E6-L6*G6/SQRT(F6+F7)</f>
        <v>0.012978877764726319</v>
      </c>
      <c r="J6" s="43">
        <f>E6+L6*G6/SQRT(F6+F7)</f>
        <v>0.02104571052342761</v>
      </c>
      <c r="K6" s="41">
        <f>(C7-C6)/(G6*SQRT((1/F6)+(1/F7)))</f>
        <v>3.136349785961744</v>
      </c>
      <c r="L6" s="40">
        <v>1.753</v>
      </c>
      <c r="M6" s="42" t="s">
        <v>52</v>
      </c>
      <c r="N6" s="40" t="s">
        <v>151</v>
      </c>
      <c r="O6" s="40"/>
    </row>
    <row r="7" spans="2:15" ht="12.75">
      <c r="B7" s="38" t="s">
        <v>72</v>
      </c>
      <c r="C7" s="43">
        <f>C21</f>
        <v>0.05859086476086206</v>
      </c>
      <c r="D7" s="43">
        <f>D21</f>
        <v>0.00622503651943661</v>
      </c>
      <c r="E7" s="43"/>
      <c r="F7" s="40">
        <v>4</v>
      </c>
      <c r="G7" s="43"/>
      <c r="H7" s="40"/>
      <c r="I7" s="43"/>
      <c r="J7" s="43"/>
      <c r="K7" s="41"/>
      <c r="L7" s="40"/>
      <c r="M7" s="42"/>
      <c r="N7" s="40"/>
      <c r="O7" s="40"/>
    </row>
    <row r="8" spans="2:15" ht="12.75">
      <c r="B8" s="38" t="s">
        <v>73</v>
      </c>
      <c r="C8" s="43"/>
      <c r="D8" s="43"/>
      <c r="E8" s="43"/>
      <c r="F8" s="40"/>
      <c r="G8" s="43"/>
      <c r="H8" s="40"/>
      <c r="I8" s="43"/>
      <c r="J8" s="43"/>
      <c r="K8" s="41"/>
      <c r="L8" s="40"/>
      <c r="M8" s="42"/>
      <c r="N8" s="40"/>
      <c r="O8" s="40"/>
    </row>
    <row r="9" spans="2:15" ht="12.75">
      <c r="B9" s="38" t="s">
        <v>74</v>
      </c>
      <c r="C9" s="43"/>
      <c r="D9" s="43"/>
      <c r="E9" s="43"/>
      <c r="F9" s="40"/>
      <c r="G9" s="43"/>
      <c r="H9" s="40"/>
      <c r="I9" s="43"/>
      <c r="J9" s="43"/>
      <c r="K9" s="41"/>
      <c r="L9" s="40"/>
      <c r="M9" s="42"/>
      <c r="N9" s="40"/>
      <c r="O9" s="40"/>
    </row>
    <row r="10" spans="2:15" ht="12.75">
      <c r="B10" s="38" t="s">
        <v>75</v>
      </c>
      <c r="C10" s="43">
        <f>C74</f>
        <v>0.04082364169667614</v>
      </c>
      <c r="D10" s="43">
        <f>D74</f>
        <v>0.008059185990240749</v>
      </c>
      <c r="E10" s="43">
        <f>C11-C10</f>
        <v>-0.004735796512550891</v>
      </c>
      <c r="F10" s="40">
        <f>COUNT(B74:B87)</f>
        <v>14</v>
      </c>
      <c r="G10" s="43">
        <f>SQRT((((F10-1)*D10^2)+((F11-1)*D11^2))/(F10+F11-2))</f>
        <v>0.007346798067774376</v>
      </c>
      <c r="H10" s="43">
        <f>L10*G10/SQRT(F10+F11)</f>
        <v>0.0030234729670317252</v>
      </c>
      <c r="I10" s="43">
        <f>E10-L10*G10/SQRT(F10+F11)</f>
        <v>-0.007759269479582616</v>
      </c>
      <c r="J10" s="43">
        <f>E10+L10*G10/SQRT(F10+F11)</f>
        <v>-0.0017123235455191658</v>
      </c>
      <c r="K10" s="41">
        <f>(C11-C10)/(G10*SQRT((1/F10)+(1/F11)))</f>
        <v>-1.1369796489508768</v>
      </c>
      <c r="L10" s="40">
        <v>1.746</v>
      </c>
      <c r="M10" s="42" t="s">
        <v>53</v>
      </c>
      <c r="N10" s="40" t="s">
        <v>151</v>
      </c>
      <c r="O10" s="40"/>
    </row>
    <row r="11" spans="2:15" ht="12.75">
      <c r="B11" s="38" t="s">
        <v>76</v>
      </c>
      <c r="C11" s="43">
        <f>C31</f>
        <v>0.03608784518412525</v>
      </c>
      <c r="D11" s="43">
        <f>D31</f>
        <v>0.0025331696120109424</v>
      </c>
      <c r="E11" s="43"/>
      <c r="F11" s="40">
        <v>4</v>
      </c>
      <c r="G11" s="43"/>
      <c r="H11" s="40"/>
      <c r="I11" s="43"/>
      <c r="J11" s="43"/>
      <c r="K11" s="41"/>
      <c r="L11" s="40"/>
      <c r="M11" s="42"/>
      <c r="N11" s="40"/>
      <c r="O11" s="40"/>
    </row>
    <row r="12" spans="2:15" ht="12.75">
      <c r="B12" s="38" t="s">
        <v>77</v>
      </c>
      <c r="C12" s="43">
        <f>C59</f>
        <v>0.03905981470523796</v>
      </c>
      <c r="D12" s="43">
        <f>D59</f>
        <v>0.00645579324860588</v>
      </c>
      <c r="E12" s="43">
        <f>C13-C12</f>
        <v>-0.0016181523117430874</v>
      </c>
      <c r="F12" s="40">
        <f>COUNT(B59:B73)</f>
        <v>15</v>
      </c>
      <c r="G12" s="43">
        <f>SQRT((((F12-1)*D12^2)+((F13-1)*D13^2))/(F12+F13-2))</f>
        <v>0.00573602523206346</v>
      </c>
      <c r="H12" s="43">
        <f>L12*G12/SQRT(F12+F13)</f>
        <v>0.002177963784597474</v>
      </c>
      <c r="I12" s="43">
        <f>E12-L12*G12/SQRT(F12+F13)</f>
        <v>-0.0037961160963405614</v>
      </c>
      <c r="J12" s="43">
        <f>E12+L12*G12/SQRT(F12+F13)</f>
        <v>0.0005598114728543866</v>
      </c>
      <c r="K12" s="41">
        <f>(C13-C12)/(G12*SQRT((1/F12)+(1/F13)))</f>
        <v>-0.5840095544885305</v>
      </c>
      <c r="L12" s="43">
        <v>1.74</v>
      </c>
      <c r="M12" s="42" t="s">
        <v>54</v>
      </c>
      <c r="N12" s="40" t="s">
        <v>151</v>
      </c>
      <c r="O12" s="40"/>
    </row>
    <row r="13" spans="2:15" ht="12.75">
      <c r="B13" s="38" t="s">
        <v>78</v>
      </c>
      <c r="C13" s="43">
        <f>C25</f>
        <v>0.03744166239349487</v>
      </c>
      <c r="D13" s="43">
        <f>D25</f>
        <v>0.002886381583646593</v>
      </c>
      <c r="E13" s="43"/>
      <c r="F13" s="40">
        <v>6</v>
      </c>
      <c r="G13" s="43"/>
      <c r="H13" s="40"/>
      <c r="I13" s="43"/>
      <c r="J13" s="43"/>
      <c r="K13" s="41"/>
      <c r="L13" s="40"/>
      <c r="M13" s="42"/>
      <c r="N13" s="40"/>
      <c r="O13" s="40"/>
    </row>
    <row r="14" spans="2:15" ht="12.75">
      <c r="B14" s="38" t="s">
        <v>79</v>
      </c>
      <c r="C14" s="43">
        <f>C41</f>
        <v>0.03594477775290094</v>
      </c>
      <c r="D14" s="43">
        <f>D41</f>
        <v>0.011603832197700918</v>
      </c>
      <c r="E14" s="43">
        <f>C15-C14</f>
        <v>-0.01286366275722877</v>
      </c>
      <c r="F14" s="40">
        <v>5</v>
      </c>
      <c r="G14" s="43">
        <f>SQRT((((F14-1)*D14^2)+((F15-1)*D15^2))/(F14+F15-2))</f>
        <v>0.008029612816782222</v>
      </c>
      <c r="H14" s="43">
        <f>L14*G14/SQRT(F14+F15)</f>
        <v>0.004437728481063619</v>
      </c>
      <c r="I14" s="43">
        <f>E14-L14*G14/SQRT(F14+F15)</f>
        <v>-0.01730139123829239</v>
      </c>
      <c r="J14" s="43">
        <f>E14+L14*G14/SQRT(F14+F15)</f>
        <v>-0.008425934276165153</v>
      </c>
      <c r="K14" s="41">
        <f>(C15-C14)/(G14*SQRT((1/F14)+(1/F15)))</f>
        <v>-2.645661796963785</v>
      </c>
      <c r="L14" s="40">
        <v>1.833</v>
      </c>
      <c r="M14" s="42" t="s">
        <v>62</v>
      </c>
      <c r="N14" s="40" t="s">
        <v>151</v>
      </c>
      <c r="O14" s="40"/>
    </row>
    <row r="15" spans="2:15" ht="12.75">
      <c r="B15" s="38" t="s">
        <v>80</v>
      </c>
      <c r="C15" s="43">
        <f>C35</f>
        <v>0.02308111499567217</v>
      </c>
      <c r="D15" s="43">
        <f>D35</f>
        <v>0.0028870902721355243</v>
      </c>
      <c r="E15" s="43"/>
      <c r="F15" s="40">
        <v>6</v>
      </c>
      <c r="G15" s="43"/>
      <c r="H15" s="40"/>
      <c r="I15" s="43"/>
      <c r="J15" s="43"/>
      <c r="K15" s="41"/>
      <c r="L15" s="40"/>
      <c r="M15" s="40"/>
      <c r="N15" s="40"/>
      <c r="O15" s="40"/>
    </row>
    <row r="17" ht="12.75">
      <c r="A17" s="1"/>
    </row>
    <row r="18" spans="1:11" ht="15.75">
      <c r="A18" s="76" t="s">
        <v>57</v>
      </c>
      <c r="K18" s="1" t="s">
        <v>61</v>
      </c>
    </row>
    <row r="19" spans="2:10" ht="12.75">
      <c r="B19" s="10" t="s">
        <v>20</v>
      </c>
      <c r="F19" s="92" t="s">
        <v>113</v>
      </c>
      <c r="G19" s="93"/>
      <c r="H19" s="93"/>
      <c r="I19" s="70" t="s">
        <v>23</v>
      </c>
      <c r="J19" s="70"/>
    </row>
    <row r="20" spans="2:12" ht="15">
      <c r="B20" s="9" t="s">
        <v>21</v>
      </c>
      <c r="C20" s="2" t="s">
        <v>8</v>
      </c>
      <c r="D20" s="2" t="s">
        <v>22</v>
      </c>
      <c r="E20" s="1" t="s">
        <v>110</v>
      </c>
      <c r="F20" s="11" t="s">
        <v>114</v>
      </c>
      <c r="G20" s="11" t="s">
        <v>111</v>
      </c>
      <c r="H20" s="11" t="s">
        <v>112</v>
      </c>
      <c r="I20" s="71" t="s">
        <v>24</v>
      </c>
      <c r="J20" s="71" t="s">
        <v>19</v>
      </c>
      <c r="K20" s="2"/>
      <c r="L20" s="2"/>
    </row>
    <row r="21" spans="1:15" ht="12.75">
      <c r="A21" s="7" t="s">
        <v>12</v>
      </c>
      <c r="B21" s="68">
        <v>0.05019790408962586</v>
      </c>
      <c r="C21" s="50">
        <f>AVERAGE(B21:B24)</f>
        <v>0.05859086476086206</v>
      </c>
      <c r="D21" s="50">
        <f>STDEV(B21:B24)</f>
        <v>0.00622503651943661</v>
      </c>
      <c r="E21">
        <v>3.182</v>
      </c>
      <c r="F21" s="67">
        <f>3.182*D21/SQRT(4)</f>
        <v>0.009904033102423646</v>
      </c>
      <c r="G21" s="50">
        <f>C21-F21</f>
        <v>0.048686831658438415</v>
      </c>
      <c r="H21" s="50">
        <f>C21+F21</f>
        <v>0.0684948978632857</v>
      </c>
      <c r="I21" s="70">
        <v>3.8</v>
      </c>
      <c r="J21" s="70">
        <f>F21</f>
        <v>0.009904033102423646</v>
      </c>
      <c r="K21" s="98" t="s">
        <v>90</v>
      </c>
      <c r="L21" s="98"/>
      <c r="M21" s="98"/>
      <c r="N21" s="98"/>
      <c r="O21" s="98"/>
    </row>
    <row r="22" spans="1:15" ht="12.75">
      <c r="A22" s="7" t="s">
        <v>12</v>
      </c>
      <c r="B22" s="68">
        <v>0.059623696581675906</v>
      </c>
      <c r="C22" s="50"/>
      <c r="D22" s="50"/>
      <c r="F22" s="67"/>
      <c r="G22" s="50"/>
      <c r="H22" s="50"/>
      <c r="I22" s="70"/>
      <c r="J22" s="70"/>
      <c r="K22" s="99"/>
      <c r="L22" s="99"/>
      <c r="M22" s="99"/>
      <c r="N22" s="99"/>
      <c r="O22" s="99"/>
    </row>
    <row r="23" spans="1:15" ht="12.75">
      <c r="A23" s="7" t="s">
        <v>12</v>
      </c>
      <c r="B23" s="68">
        <v>0.05929948507095455</v>
      </c>
      <c r="C23" s="50"/>
      <c r="D23" s="50"/>
      <c r="F23" s="67"/>
      <c r="G23" s="50"/>
      <c r="H23" s="50"/>
      <c r="I23" s="70"/>
      <c r="J23" s="70"/>
      <c r="K23" s="99"/>
      <c r="L23" s="99"/>
      <c r="M23" s="99"/>
      <c r="N23" s="99"/>
      <c r="O23" s="99"/>
    </row>
    <row r="24" spans="1:15" ht="12.75">
      <c r="A24" s="7" t="s">
        <v>12</v>
      </c>
      <c r="B24" s="68">
        <v>0.06524237330119192</v>
      </c>
      <c r="C24" s="50"/>
      <c r="D24" s="50"/>
      <c r="F24" s="67"/>
      <c r="G24" s="50"/>
      <c r="H24" s="50"/>
      <c r="I24" s="70"/>
      <c r="J24" s="70"/>
      <c r="K24" s="99"/>
      <c r="L24" s="99"/>
      <c r="M24" s="99"/>
      <c r="N24" s="99"/>
      <c r="O24" s="99"/>
    </row>
    <row r="25" spans="1:15" ht="12.75">
      <c r="A25" s="7" t="s">
        <v>16</v>
      </c>
      <c r="B25" s="66">
        <v>0.033873912300210626</v>
      </c>
      <c r="C25" s="50">
        <f>AVERAGE(B25:B30)</f>
        <v>0.03744166239349487</v>
      </c>
      <c r="D25" s="50">
        <f>STDEV(B25:B30)</f>
        <v>0.002886381583646593</v>
      </c>
      <c r="E25">
        <v>2.571</v>
      </c>
      <c r="F25" s="67">
        <f>2.571*D25/SQRT(6)</f>
        <v>0.003029564452522905</v>
      </c>
      <c r="G25" s="50">
        <f>C25-F25</f>
        <v>0.03441209794097196</v>
      </c>
      <c r="H25" s="50">
        <f>C25+F25</f>
        <v>0.040471226846017776</v>
      </c>
      <c r="I25" s="70">
        <v>3.9</v>
      </c>
      <c r="J25" s="70">
        <f>F25</f>
        <v>0.003029564452522905</v>
      </c>
      <c r="K25" s="99"/>
      <c r="L25" s="99"/>
      <c r="M25" s="99"/>
      <c r="N25" s="99"/>
      <c r="O25" s="99"/>
    </row>
    <row r="26" spans="1:10" ht="12.75">
      <c r="A26" s="7" t="s">
        <v>16</v>
      </c>
      <c r="B26" s="66">
        <v>0.041592863669981446</v>
      </c>
      <c r="C26" s="50"/>
      <c r="D26" s="50"/>
      <c r="F26" s="67"/>
      <c r="G26" s="50"/>
      <c r="H26" s="50"/>
      <c r="I26" s="70"/>
      <c r="J26" s="70"/>
    </row>
    <row r="27" spans="1:10" ht="12.75">
      <c r="A27" s="7" t="s">
        <v>16</v>
      </c>
      <c r="B27" s="66">
        <v>0.03460472206532301</v>
      </c>
      <c r="C27" s="50"/>
      <c r="D27" s="50"/>
      <c r="F27" s="67"/>
      <c r="G27" s="50"/>
      <c r="H27" s="50"/>
      <c r="I27" s="70"/>
      <c r="J27" s="70"/>
    </row>
    <row r="28" spans="1:10" ht="12.75">
      <c r="A28" s="7" t="s">
        <v>16</v>
      </c>
      <c r="B28" s="66">
        <v>0.03789143373042016</v>
      </c>
      <c r="C28" s="50"/>
      <c r="D28" s="50"/>
      <c r="F28" s="67"/>
      <c r="G28" s="50"/>
      <c r="H28" s="50"/>
      <c r="I28" s="70"/>
      <c r="J28" s="70"/>
    </row>
    <row r="29" spans="1:10" ht="12.75">
      <c r="A29" s="7" t="s">
        <v>16</v>
      </c>
      <c r="B29" s="66">
        <v>0.039296793771518755</v>
      </c>
      <c r="C29" s="50"/>
      <c r="D29" s="50"/>
      <c r="F29" s="67"/>
      <c r="G29" s="50"/>
      <c r="H29" s="50"/>
      <c r="I29" s="70"/>
      <c r="J29" s="70"/>
    </row>
    <row r="30" spans="1:10" ht="12.75">
      <c r="A30" s="7" t="s">
        <v>16</v>
      </c>
      <c r="B30" s="66">
        <v>0.03739024882351522</v>
      </c>
      <c r="C30" s="50"/>
      <c r="D30" s="50"/>
      <c r="F30" s="67"/>
      <c r="G30" s="50"/>
      <c r="H30" s="50"/>
      <c r="I30" s="70"/>
      <c r="J30" s="70"/>
    </row>
    <row r="31" spans="1:10" ht="12.75">
      <c r="A31" s="7" t="s">
        <v>18</v>
      </c>
      <c r="B31" s="68">
        <v>0.0393331262489419</v>
      </c>
      <c r="C31" s="50">
        <f>AVERAGE(B31:B34)</f>
        <v>0.03608784518412525</v>
      </c>
      <c r="D31" s="50">
        <f>STDEV(B31:B34)</f>
        <v>0.0025331696120109424</v>
      </c>
      <c r="E31">
        <v>3.183</v>
      </c>
      <c r="F31" s="67">
        <f>3.183*D31/SQRT(4)</f>
        <v>0.004031539437515414</v>
      </c>
      <c r="G31" s="50">
        <f>C31-F31</f>
        <v>0.03205630574660984</v>
      </c>
      <c r="H31" s="50">
        <f>C31+F31</f>
        <v>0.040119384621640664</v>
      </c>
      <c r="I31" s="70">
        <v>3.95</v>
      </c>
      <c r="J31" s="70">
        <f>F31</f>
        <v>0.004031539437515414</v>
      </c>
    </row>
    <row r="32" spans="1:10" ht="12.75">
      <c r="A32" s="7" t="s">
        <v>18</v>
      </c>
      <c r="B32" s="68">
        <v>0.03684923426250925</v>
      </c>
      <c r="C32" s="50"/>
      <c r="D32" s="50"/>
      <c r="F32" s="67"/>
      <c r="G32" s="50"/>
      <c r="H32" s="50"/>
      <c r="I32" s="70"/>
      <c r="J32" s="70"/>
    </row>
    <row r="33" spans="1:10" ht="12.75">
      <c r="A33" s="7" t="s">
        <v>18</v>
      </c>
      <c r="B33" s="68">
        <v>0.03432176473640073</v>
      </c>
      <c r="C33" s="50"/>
      <c r="D33" s="50"/>
      <c r="F33" s="67"/>
      <c r="G33" s="50"/>
      <c r="H33" s="50"/>
      <c r="I33" s="70"/>
      <c r="J33" s="70"/>
    </row>
    <row r="34" spans="1:10" ht="12.75">
      <c r="A34" s="7" t="s">
        <v>18</v>
      </c>
      <c r="B34" s="68">
        <v>0.0338472554886491</v>
      </c>
      <c r="C34" s="50"/>
      <c r="D34" s="50"/>
      <c r="F34" s="67"/>
      <c r="G34" s="50"/>
      <c r="H34" s="50"/>
      <c r="I34" s="70"/>
      <c r="J34" s="70"/>
    </row>
    <row r="35" spans="1:10" ht="12.75">
      <c r="A35" s="7" t="s">
        <v>17</v>
      </c>
      <c r="B35" s="66">
        <v>0.02822195924763101</v>
      </c>
      <c r="C35" s="50">
        <f>AVERAGE(B35:B40)</f>
        <v>0.02308111499567217</v>
      </c>
      <c r="D35" s="50">
        <f>STDEV(B35:B40)</f>
        <v>0.0028870902721355243</v>
      </c>
      <c r="E35">
        <v>2.571</v>
      </c>
      <c r="F35" s="67">
        <f>2.571*D35/SQRT(6)</f>
        <v>0.003030308296464449</v>
      </c>
      <c r="G35" s="50">
        <f>C35-F35</f>
        <v>0.02005080669920772</v>
      </c>
      <c r="H35" s="50">
        <f>C35+F35</f>
        <v>0.02611142329213662</v>
      </c>
      <c r="I35" s="70">
        <v>3</v>
      </c>
      <c r="J35" s="70">
        <f>F35</f>
        <v>0.003030308296464449</v>
      </c>
    </row>
    <row r="36" spans="1:10" ht="12.75">
      <c r="A36" s="7" t="s">
        <v>17</v>
      </c>
      <c r="B36" s="66">
        <v>0.02317524051631961</v>
      </c>
      <c r="C36" s="50"/>
      <c r="D36" s="50"/>
      <c r="F36" s="67"/>
      <c r="G36" s="50"/>
      <c r="H36" s="50"/>
      <c r="I36" s="70"/>
      <c r="J36" s="70"/>
    </row>
    <row r="37" spans="1:10" ht="12.75">
      <c r="A37" s="7" t="s">
        <v>17</v>
      </c>
      <c r="B37" s="66">
        <v>0.020420976733607276</v>
      </c>
      <c r="C37" s="50"/>
      <c r="D37" s="50"/>
      <c r="F37" s="67"/>
      <c r="G37" s="50"/>
      <c r="H37" s="50"/>
      <c r="I37" s="70"/>
      <c r="J37" s="70"/>
    </row>
    <row r="38" spans="1:10" ht="12.75">
      <c r="A38" s="7" t="s">
        <v>17</v>
      </c>
      <c r="B38" s="66">
        <v>0.023572471034082425</v>
      </c>
      <c r="C38" s="50"/>
      <c r="D38" s="50"/>
      <c r="F38" s="67"/>
      <c r="G38" s="50"/>
      <c r="H38" s="50"/>
      <c r="I38" s="70"/>
      <c r="J38" s="70"/>
    </row>
    <row r="39" spans="1:10" ht="12.75">
      <c r="A39" s="7" t="s">
        <v>17</v>
      </c>
      <c r="B39" s="66">
        <v>0.02027900731498694</v>
      </c>
      <c r="C39" s="50"/>
      <c r="D39" s="50"/>
      <c r="F39" s="67"/>
      <c r="G39" s="50"/>
      <c r="H39" s="50"/>
      <c r="I39" s="70"/>
      <c r="J39" s="70"/>
    </row>
    <row r="40" spans="1:10" ht="12.75">
      <c r="A40" s="7" t="s">
        <v>17</v>
      </c>
      <c r="B40" s="66">
        <v>0.022817035127405762</v>
      </c>
      <c r="C40" s="50"/>
      <c r="D40" s="50"/>
      <c r="F40" s="67"/>
      <c r="G40" s="50"/>
      <c r="H40" s="50"/>
      <c r="I40" s="70"/>
      <c r="J40" s="70"/>
    </row>
    <row r="41" spans="1:10" ht="12.75">
      <c r="A41" s="7" t="s">
        <v>15</v>
      </c>
      <c r="B41" s="68">
        <v>0.0564204971110211</v>
      </c>
      <c r="C41" s="50">
        <f>AVERAGE(B41:B45)</f>
        <v>0.03594477775290094</v>
      </c>
      <c r="D41" s="50">
        <f>STDEV(B41:B45)</f>
        <v>0.011603832197700918</v>
      </c>
      <c r="E41">
        <v>2.776</v>
      </c>
      <c r="F41" s="67">
        <f>2.776*D41/SQRT(5)</f>
        <v>0.014405750855944529</v>
      </c>
      <c r="G41" s="50">
        <f>C41-F41</f>
        <v>0.02153902689695641</v>
      </c>
      <c r="H41" s="50">
        <f>C41+F41</f>
        <v>0.050350528608845466</v>
      </c>
      <c r="I41" s="70">
        <v>0</v>
      </c>
      <c r="J41" s="70">
        <f>F41</f>
        <v>0.014405750855944529</v>
      </c>
    </row>
    <row r="42" spans="1:10" ht="12.75">
      <c r="A42" s="7" t="s">
        <v>15</v>
      </c>
      <c r="B42" s="68">
        <v>0.03153294426257485</v>
      </c>
      <c r="C42" s="50"/>
      <c r="D42" s="50"/>
      <c r="F42" s="67"/>
      <c r="G42" s="50"/>
      <c r="H42" s="50"/>
      <c r="I42" s="70"/>
      <c r="J42" s="70"/>
    </row>
    <row r="43" spans="1:10" ht="12.75">
      <c r="A43" s="7" t="s">
        <v>15</v>
      </c>
      <c r="B43" s="68">
        <v>0.033628588505458516</v>
      </c>
      <c r="C43" s="50"/>
      <c r="D43" s="50"/>
      <c r="F43" s="67"/>
      <c r="G43" s="50"/>
      <c r="H43" s="50"/>
      <c r="I43" s="70"/>
      <c r="J43" s="70"/>
    </row>
    <row r="44" spans="1:10" ht="12.75">
      <c r="A44" s="7" t="s">
        <v>15</v>
      </c>
      <c r="B44" s="68">
        <v>0.029148437178344193</v>
      </c>
      <c r="C44" s="50"/>
      <c r="D44" s="50"/>
      <c r="F44" s="67"/>
      <c r="G44" s="50"/>
      <c r="H44" s="50"/>
      <c r="I44" s="70"/>
      <c r="J44" s="70"/>
    </row>
    <row r="45" spans="1:10" ht="12.75">
      <c r="A45" s="7" t="s">
        <v>15</v>
      </c>
      <c r="B45" s="68">
        <v>0.02899342170710602</v>
      </c>
      <c r="C45" s="50"/>
      <c r="D45" s="50"/>
      <c r="F45" s="67"/>
      <c r="G45" s="50"/>
      <c r="H45" s="50"/>
      <c r="I45" s="70"/>
      <c r="J45" s="70"/>
    </row>
    <row r="46" spans="1:10" ht="12.75">
      <c r="A46" s="7" t="s">
        <v>11</v>
      </c>
      <c r="B46" s="66">
        <v>0.0348527708476849</v>
      </c>
      <c r="C46" s="50">
        <f>AVERAGE(B46:B58)</f>
        <v>0.0415785706167851</v>
      </c>
      <c r="D46" s="50">
        <f>STDEV(B46:B58)</f>
        <v>0.010139492179042649</v>
      </c>
      <c r="E46">
        <v>2.179</v>
      </c>
      <c r="F46" s="67">
        <f>2.179*D46/SQRT(13)</f>
        <v>0.006127760159308986</v>
      </c>
      <c r="G46" s="50">
        <f>C46-F46</f>
        <v>0.03545081045747611</v>
      </c>
      <c r="H46" s="50">
        <f>C46+F46</f>
        <v>0.04770633077609408</v>
      </c>
      <c r="I46" s="70">
        <v>0.05</v>
      </c>
      <c r="J46" s="70">
        <f>F46</f>
        <v>0.006127760159308986</v>
      </c>
    </row>
    <row r="47" spans="1:10" ht="12.75">
      <c r="A47" s="7" t="s">
        <v>11</v>
      </c>
      <c r="B47" s="66">
        <v>0.04147766014367035</v>
      </c>
      <c r="C47" s="50"/>
      <c r="D47" s="50"/>
      <c r="F47" s="67"/>
      <c r="G47" s="50"/>
      <c r="H47" s="50"/>
      <c r="I47" s="70"/>
      <c r="J47" s="70"/>
    </row>
    <row r="48" spans="1:10" ht="12.75">
      <c r="A48" s="7" t="s">
        <v>11</v>
      </c>
      <c r="B48" s="66">
        <v>0.04668094150471</v>
      </c>
      <c r="C48" s="50"/>
      <c r="D48" s="50"/>
      <c r="F48" s="67"/>
      <c r="G48" s="50"/>
      <c r="H48" s="50"/>
      <c r="I48" s="70"/>
      <c r="J48" s="70"/>
    </row>
    <row r="49" spans="1:10" ht="12.75">
      <c r="A49" s="7" t="s">
        <v>11</v>
      </c>
      <c r="B49" s="66">
        <v>0.0325225554948683</v>
      </c>
      <c r="C49" s="50"/>
      <c r="D49" s="50"/>
      <c r="F49" s="67"/>
      <c r="G49" s="50"/>
      <c r="H49" s="50"/>
      <c r="I49" s="70"/>
      <c r="J49" s="70"/>
    </row>
    <row r="50" spans="1:10" ht="12.75">
      <c r="A50" s="7" t="s">
        <v>11</v>
      </c>
      <c r="B50" s="66">
        <v>0.022907058017435</v>
      </c>
      <c r="C50" s="50"/>
      <c r="D50" s="50"/>
      <c r="F50" s="67"/>
      <c r="G50" s="50"/>
      <c r="H50" s="50"/>
      <c r="I50" s="70"/>
      <c r="J50" s="70"/>
    </row>
    <row r="51" spans="1:10" ht="12.75">
      <c r="A51" s="7" t="s">
        <v>11</v>
      </c>
      <c r="B51" s="66">
        <v>0.050529442600561955</v>
      </c>
      <c r="C51" s="50"/>
      <c r="D51" s="50"/>
      <c r="F51" s="67"/>
      <c r="G51" s="50"/>
      <c r="H51" s="50"/>
      <c r="I51" s="70"/>
      <c r="J51" s="70"/>
    </row>
    <row r="52" spans="1:10" ht="12.75">
      <c r="A52" s="7" t="s">
        <v>11</v>
      </c>
      <c r="B52" s="66">
        <v>0.04565249362359155</v>
      </c>
      <c r="C52" s="50"/>
      <c r="D52" s="50"/>
      <c r="F52" s="67"/>
      <c r="G52" s="50"/>
      <c r="H52" s="50"/>
      <c r="I52" s="70"/>
      <c r="J52" s="70"/>
    </row>
    <row r="53" spans="1:10" ht="12.75">
      <c r="A53" s="7" t="s">
        <v>11</v>
      </c>
      <c r="B53" s="66">
        <v>0.06128652378539646</v>
      </c>
      <c r="C53" s="50"/>
      <c r="D53" s="50"/>
      <c r="F53" s="67"/>
      <c r="G53" s="50"/>
      <c r="H53" s="50"/>
      <c r="I53" s="70"/>
      <c r="J53" s="70"/>
    </row>
    <row r="54" spans="1:10" ht="12.75">
      <c r="A54" s="7" t="s">
        <v>11</v>
      </c>
      <c r="B54" s="66">
        <v>0.027035015399252817</v>
      </c>
      <c r="C54" s="50"/>
      <c r="D54" s="50"/>
      <c r="F54" s="67"/>
      <c r="G54" s="50"/>
      <c r="H54" s="50"/>
      <c r="I54" s="70"/>
      <c r="J54" s="70"/>
    </row>
    <row r="55" spans="1:10" ht="12.75">
      <c r="A55" s="7" t="s">
        <v>11</v>
      </c>
      <c r="B55" s="66">
        <v>0.044083795386861045</v>
      </c>
      <c r="C55" s="50"/>
      <c r="D55" s="50"/>
      <c r="F55" s="67"/>
      <c r="G55" s="50"/>
      <c r="H55" s="50"/>
      <c r="I55" s="70"/>
      <c r="J55" s="70"/>
    </row>
    <row r="56" spans="1:10" ht="12.75">
      <c r="A56" s="7" t="s">
        <v>11</v>
      </c>
      <c r="B56" s="66">
        <v>0.045270499673281894</v>
      </c>
      <c r="C56" s="50"/>
      <c r="D56" s="50"/>
      <c r="F56" s="67"/>
      <c r="G56" s="50"/>
      <c r="H56" s="50"/>
      <c r="I56" s="70"/>
      <c r="J56" s="70"/>
    </row>
    <row r="57" spans="1:10" ht="12.75">
      <c r="A57" s="7" t="s">
        <v>11</v>
      </c>
      <c r="B57" s="66">
        <v>0.04301031775529125</v>
      </c>
      <c r="C57" s="50"/>
      <c r="D57" s="50"/>
      <c r="F57" s="67"/>
      <c r="G57" s="50"/>
      <c r="H57" s="50"/>
      <c r="I57" s="70"/>
      <c r="J57" s="70"/>
    </row>
    <row r="58" spans="1:10" ht="12.75">
      <c r="A58" s="7" t="s">
        <v>11</v>
      </c>
      <c r="B58" s="66">
        <v>0.045212343785600795</v>
      </c>
      <c r="C58" s="50"/>
      <c r="D58" s="50"/>
      <c r="F58" s="67"/>
      <c r="G58" s="50"/>
      <c r="H58" s="50"/>
      <c r="I58" s="70"/>
      <c r="J58" s="70"/>
    </row>
    <row r="59" spans="1:10" ht="12.75">
      <c r="A59" s="7" t="s">
        <v>13</v>
      </c>
      <c r="B59" s="68">
        <v>0.03984750882951375</v>
      </c>
      <c r="C59" s="50">
        <f>AVERAGE(B59:B73)</f>
        <v>0.03905981470523796</v>
      </c>
      <c r="D59" s="50">
        <f>STDEV(B59:B73)</f>
        <v>0.00645579324860588</v>
      </c>
      <c r="E59">
        <v>2.145</v>
      </c>
      <c r="F59" s="67">
        <f>2.145*D59/SQRT(15)</f>
        <v>0.003575454702592466</v>
      </c>
      <c r="G59" s="50">
        <f>C59-F59</f>
        <v>0.03548436000264549</v>
      </c>
      <c r="H59" s="50">
        <f>C59+F59</f>
        <v>0.042635269407830426</v>
      </c>
      <c r="I59" s="70">
        <v>0.1</v>
      </c>
      <c r="J59" s="70">
        <f>F59</f>
        <v>0.003575454702592466</v>
      </c>
    </row>
    <row r="60" spans="1:10" ht="12.75">
      <c r="A60" s="7" t="s">
        <v>13</v>
      </c>
      <c r="B60" s="68">
        <v>0.04280477390063705</v>
      </c>
      <c r="C60" s="50"/>
      <c r="D60" s="50"/>
      <c r="F60" s="67"/>
      <c r="G60" s="50"/>
      <c r="H60" s="50"/>
      <c r="I60" s="70"/>
      <c r="J60" s="70"/>
    </row>
    <row r="61" spans="1:10" ht="12.75">
      <c r="A61" s="7" t="s">
        <v>13</v>
      </c>
      <c r="B61" s="68">
        <v>0.029751063770495002</v>
      </c>
      <c r="C61" s="50"/>
      <c r="D61" s="50"/>
      <c r="F61" s="67"/>
      <c r="G61" s="50"/>
      <c r="H61" s="50"/>
      <c r="I61" s="70"/>
      <c r="J61" s="70"/>
    </row>
    <row r="62" spans="1:10" ht="12.75">
      <c r="A62" s="7" t="s">
        <v>13</v>
      </c>
      <c r="B62" s="68">
        <v>0.0402361830145878</v>
      </c>
      <c r="C62" s="50"/>
      <c r="D62" s="50"/>
      <c r="F62" s="67"/>
      <c r="G62" s="50"/>
      <c r="H62" s="50"/>
      <c r="I62" s="70"/>
      <c r="J62" s="70"/>
    </row>
    <row r="63" spans="1:10" ht="12.75">
      <c r="A63" s="7" t="s">
        <v>13</v>
      </c>
      <c r="B63" s="68">
        <v>0.0345834339428335</v>
      </c>
      <c r="C63" s="50"/>
      <c r="D63" s="50"/>
      <c r="F63" s="67"/>
      <c r="G63" s="50"/>
      <c r="H63" s="50"/>
      <c r="I63" s="70"/>
      <c r="J63" s="70"/>
    </row>
    <row r="64" spans="1:10" ht="12.75">
      <c r="A64" s="7" t="s">
        <v>13</v>
      </c>
      <c r="B64" s="68">
        <v>0.039458528737960054</v>
      </c>
      <c r="C64" s="50"/>
      <c r="D64" s="50"/>
      <c r="F64" s="67"/>
      <c r="G64" s="50"/>
      <c r="H64" s="50"/>
      <c r="I64" s="70"/>
      <c r="J64" s="70"/>
    </row>
    <row r="65" spans="1:10" ht="12.75">
      <c r="A65" s="7" t="s">
        <v>13</v>
      </c>
      <c r="B65" s="68">
        <v>0.03915120652818875</v>
      </c>
      <c r="C65" s="50"/>
      <c r="D65" s="50"/>
      <c r="F65" s="67"/>
      <c r="G65" s="50"/>
      <c r="H65" s="50"/>
      <c r="I65" s="70"/>
      <c r="J65" s="70"/>
    </row>
    <row r="66" spans="1:10" ht="12.75">
      <c r="A66" s="7" t="s">
        <v>13</v>
      </c>
      <c r="B66" s="68">
        <v>0.04014162526073535</v>
      </c>
      <c r="C66" s="50"/>
      <c r="D66" s="50"/>
      <c r="F66" s="67"/>
      <c r="G66" s="50"/>
      <c r="H66" s="50"/>
      <c r="I66" s="70"/>
      <c r="J66" s="70"/>
    </row>
    <row r="67" spans="1:10" ht="12.75">
      <c r="A67" s="7" t="s">
        <v>13</v>
      </c>
      <c r="B67" s="68">
        <v>0.032173711287969954</v>
      </c>
      <c r="C67" s="50"/>
      <c r="D67" s="50"/>
      <c r="F67" s="67"/>
      <c r="G67" s="50"/>
      <c r="H67" s="50"/>
      <c r="I67" s="70"/>
      <c r="J67" s="70"/>
    </row>
    <row r="68" spans="1:10" ht="12.75">
      <c r="A68" s="7" t="s">
        <v>13</v>
      </c>
      <c r="B68" s="68">
        <v>0.03199416023823295</v>
      </c>
      <c r="C68" s="50"/>
      <c r="D68" s="50"/>
      <c r="F68" s="67"/>
      <c r="G68" s="50"/>
      <c r="H68" s="50"/>
      <c r="I68" s="70"/>
      <c r="J68" s="70"/>
    </row>
    <row r="69" spans="1:10" ht="12.75">
      <c r="A69" s="7" t="s">
        <v>13</v>
      </c>
      <c r="B69" s="68">
        <v>0.0486579012955563</v>
      </c>
      <c r="C69" s="50"/>
      <c r="D69" s="50"/>
      <c r="F69" s="67"/>
      <c r="G69" s="50"/>
      <c r="H69" s="50"/>
      <c r="I69" s="70"/>
      <c r="J69" s="70"/>
    </row>
    <row r="70" spans="1:10" ht="12.75">
      <c r="A70" s="7" t="s">
        <v>13</v>
      </c>
      <c r="B70" s="68">
        <v>0.04385468123644135</v>
      </c>
      <c r="C70" s="50"/>
      <c r="D70" s="50"/>
      <c r="F70" s="67"/>
      <c r="G70" s="50"/>
      <c r="H70" s="50"/>
      <c r="I70" s="70"/>
      <c r="J70" s="70"/>
    </row>
    <row r="71" spans="1:10" ht="12.75">
      <c r="A71" s="7" t="s">
        <v>13</v>
      </c>
      <c r="B71" s="68">
        <v>0.050670278275240496</v>
      </c>
      <c r="C71" s="50"/>
      <c r="D71" s="50"/>
      <c r="F71" s="67"/>
      <c r="G71" s="50"/>
      <c r="H71" s="50"/>
      <c r="I71" s="70"/>
      <c r="J71" s="70"/>
    </row>
    <row r="72" spans="1:10" ht="12.75">
      <c r="A72" s="7" t="s">
        <v>13</v>
      </c>
      <c r="B72" s="68">
        <v>0.029329851650823</v>
      </c>
      <c r="C72" s="50"/>
      <c r="D72" s="50"/>
      <c r="F72" s="67"/>
      <c r="G72" s="50"/>
      <c r="H72" s="50"/>
      <c r="I72" s="70"/>
      <c r="J72" s="70"/>
    </row>
    <row r="73" spans="1:10" ht="12.75">
      <c r="A73" s="7" t="s">
        <v>13</v>
      </c>
      <c r="B73" s="68">
        <v>0.04324231260935395</v>
      </c>
      <c r="C73" s="50"/>
      <c r="D73" s="50"/>
      <c r="F73" s="67"/>
      <c r="G73" s="50"/>
      <c r="H73" s="50"/>
      <c r="I73" s="70"/>
      <c r="J73" s="70"/>
    </row>
    <row r="74" spans="1:10" ht="12.75">
      <c r="A74" s="7" t="s">
        <v>14</v>
      </c>
      <c r="B74" s="66">
        <v>0.042420926719757154</v>
      </c>
      <c r="C74" s="50">
        <f>AVERAGE(B74:B91)</f>
        <v>0.04082364169667614</v>
      </c>
      <c r="D74" s="50">
        <f>STDEV(B74:B91)</f>
        <v>0.008059185990240749</v>
      </c>
      <c r="E74">
        <v>2.16</v>
      </c>
      <c r="F74" s="67">
        <f>2.16*D74/SQRT(14)</f>
        <v>0.0046524414021587015</v>
      </c>
      <c r="G74" s="50">
        <f>C74-F74</f>
        <v>0.03617120029451744</v>
      </c>
      <c r="H74" s="50">
        <f>C74+F74</f>
        <v>0.045476083098834844</v>
      </c>
      <c r="I74" s="70">
        <v>0.2</v>
      </c>
      <c r="J74" s="70">
        <f>F74</f>
        <v>0.0046524414021587015</v>
      </c>
    </row>
    <row r="75" spans="1:10" ht="12.75">
      <c r="A75" s="7" t="s">
        <v>14</v>
      </c>
      <c r="B75" s="66">
        <v>0.03689652615361075</v>
      </c>
      <c r="C75" s="50"/>
      <c r="D75" s="50"/>
      <c r="F75" s="67"/>
      <c r="G75" s="50"/>
      <c r="H75" s="50"/>
      <c r="I75" s="70"/>
      <c r="J75" s="70"/>
    </row>
    <row r="76" spans="1:10" ht="12.75">
      <c r="A76" s="7" t="s">
        <v>14</v>
      </c>
      <c r="B76" s="66">
        <v>0.04062146127531875</v>
      </c>
      <c r="C76" s="50"/>
      <c r="D76" s="50"/>
      <c r="F76" s="67"/>
      <c r="G76" s="50"/>
      <c r="H76" s="50"/>
      <c r="I76" s="70"/>
      <c r="J76" s="70"/>
    </row>
    <row r="77" spans="1:10" ht="12.75">
      <c r="A77" s="7" t="s">
        <v>14</v>
      </c>
      <c r="B77" s="66">
        <v>0.0418650007378425</v>
      </c>
      <c r="C77" s="50"/>
      <c r="D77" s="50"/>
      <c r="F77" s="67"/>
      <c r="G77" s="50"/>
      <c r="H77" s="50"/>
      <c r="I77" s="70"/>
      <c r="J77" s="70"/>
    </row>
    <row r="78" spans="1:10" ht="12.75">
      <c r="A78" s="7" t="s">
        <v>14</v>
      </c>
      <c r="B78" s="66">
        <v>0.0328157095218706</v>
      </c>
      <c r="C78" s="50"/>
      <c r="D78" s="50"/>
      <c r="F78" s="67"/>
      <c r="G78" s="50"/>
      <c r="H78" s="50"/>
      <c r="I78" s="70"/>
      <c r="J78" s="70"/>
    </row>
    <row r="79" spans="1:10" ht="12.75">
      <c r="A79" s="7" t="s">
        <v>14</v>
      </c>
      <c r="B79" s="66">
        <v>0.0362340991214318</v>
      </c>
      <c r="C79" s="50"/>
      <c r="D79" s="50"/>
      <c r="F79" s="67"/>
      <c r="G79" s="50"/>
      <c r="H79" s="50"/>
      <c r="I79" s="70"/>
      <c r="J79" s="70"/>
    </row>
    <row r="80" spans="1:10" ht="12.75">
      <c r="A80" s="7" t="s">
        <v>14</v>
      </c>
      <c r="B80" s="66">
        <v>0.04819372986410485</v>
      </c>
      <c r="C80" s="50"/>
      <c r="D80" s="50"/>
      <c r="F80" s="67"/>
      <c r="G80" s="50"/>
      <c r="H80" s="50"/>
      <c r="I80" s="70"/>
      <c r="J80" s="70"/>
    </row>
    <row r="81" spans="1:10" ht="12.75">
      <c r="A81" s="7" t="s">
        <v>14</v>
      </c>
      <c r="B81" s="66">
        <v>0.03959568197727635</v>
      </c>
      <c r="C81" s="50"/>
      <c r="D81" s="50"/>
      <c r="F81" s="67"/>
      <c r="G81" s="50"/>
      <c r="H81" s="50"/>
      <c r="I81" s="70"/>
      <c r="J81" s="70"/>
    </row>
    <row r="82" spans="1:10" ht="12.75">
      <c r="A82" s="7" t="s">
        <v>14</v>
      </c>
      <c r="B82" s="66">
        <v>0.04342740723423995</v>
      </c>
      <c r="C82" s="50"/>
      <c r="D82" s="50"/>
      <c r="F82" s="67"/>
      <c r="G82" s="50"/>
      <c r="H82" s="50"/>
      <c r="I82" s="70"/>
      <c r="J82" s="70"/>
    </row>
    <row r="83" spans="1:10" ht="12.75">
      <c r="A83" s="7" t="s">
        <v>14</v>
      </c>
      <c r="B83" s="66">
        <v>0.0309460277484588</v>
      </c>
      <c r="C83" s="50"/>
      <c r="D83" s="50"/>
      <c r="F83" s="67"/>
      <c r="G83" s="50"/>
      <c r="H83" s="50"/>
      <c r="I83" s="70"/>
      <c r="J83" s="70"/>
    </row>
    <row r="84" spans="1:10" ht="12.75">
      <c r="A84" s="7" t="s">
        <v>14</v>
      </c>
      <c r="B84" s="66">
        <v>0.046397732710444145</v>
      </c>
      <c r="C84" s="50"/>
      <c r="D84" s="50"/>
      <c r="F84" s="67"/>
      <c r="G84" s="50"/>
      <c r="H84" s="50"/>
      <c r="I84" s="70"/>
      <c r="J84" s="70"/>
    </row>
    <row r="85" spans="1:10" ht="12.75">
      <c r="A85" s="7" t="s">
        <v>14</v>
      </c>
      <c r="B85" s="66">
        <v>0.0396001253420468</v>
      </c>
      <c r="C85" s="50"/>
      <c r="D85" s="50"/>
      <c r="F85" s="67"/>
      <c r="G85" s="50"/>
      <c r="H85" s="50"/>
      <c r="I85" s="70"/>
      <c r="J85" s="70"/>
    </row>
    <row r="86" spans="1:10" ht="12.75">
      <c r="A86" s="7" t="s">
        <v>14</v>
      </c>
      <c r="B86" s="66">
        <v>0.0306336892277654</v>
      </c>
      <c r="F86" s="6"/>
      <c r="I86" s="70"/>
      <c r="J86" s="70"/>
    </row>
    <row r="87" spans="1:10" ht="12.75">
      <c r="A87" s="7" t="s">
        <v>14</v>
      </c>
      <c r="B87" s="66">
        <v>0.06188286611929815</v>
      </c>
      <c r="F87" s="6"/>
      <c r="I87" s="70"/>
      <c r="J87" s="70"/>
    </row>
    <row r="88" spans="1:10" ht="12.75">
      <c r="A88" s="7"/>
      <c r="B88" s="5"/>
      <c r="F88" s="6"/>
      <c r="I88" s="6"/>
      <c r="J88" s="6"/>
    </row>
    <row r="89" spans="1:10" ht="12.75">
      <c r="A89" s="7"/>
      <c r="B89" s="5"/>
      <c r="F89" s="6"/>
      <c r="I89" s="6"/>
      <c r="J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spans="1:9" ht="12.75">
      <c r="A120" s="21" t="s">
        <v>55</v>
      </c>
      <c r="B120" s="22"/>
      <c r="C120" s="23">
        <f>B135</f>
        <v>35.22222222222222</v>
      </c>
      <c r="D120" s="23">
        <f>B136</f>
        <v>4.944132324730432</v>
      </c>
      <c r="E120" s="23">
        <f>C121-C120</f>
        <v>-3.6666666666666643</v>
      </c>
      <c r="F120" s="23">
        <f>C137</f>
        <v>9</v>
      </c>
      <c r="G120" s="23">
        <f>SQRT((((F120-1)*D120^2)+((F121-1)*D121^2))/(F120+F121-2))</f>
        <v>4.7155181169317</v>
      </c>
      <c r="H120" s="22">
        <f>(C121-C120)/(G120*SQRT((1/F120)+(1/F121)))</f>
        <v>-1.6494846165734023</v>
      </c>
      <c r="I120" s="24">
        <v>1.753</v>
      </c>
    </row>
    <row r="121" spans="1:9" ht="12.75">
      <c r="A121" s="25" t="s">
        <v>56</v>
      </c>
      <c r="B121" s="26"/>
      <c r="C121" s="27">
        <f>C135</f>
        <v>31.555555555555557</v>
      </c>
      <c r="D121" s="27">
        <f>C136</f>
        <v>4.475240527365856</v>
      </c>
      <c r="E121" s="27"/>
      <c r="F121" s="27">
        <f>C137</f>
        <v>9</v>
      </c>
      <c r="G121" s="27"/>
      <c r="H121" s="26"/>
      <c r="I121" s="28"/>
    </row>
    <row r="122" spans="1:9" ht="12.75">
      <c r="A122" s="25"/>
      <c r="B122" s="26"/>
      <c r="C122" s="26"/>
      <c r="D122" s="26"/>
      <c r="E122" s="26"/>
      <c r="F122" s="26"/>
      <c r="G122" s="26"/>
      <c r="H122" s="27">
        <f>C121-C120</f>
        <v>-3.6666666666666643</v>
      </c>
      <c r="I122" s="28"/>
    </row>
    <row r="123" spans="1:9" ht="12.75">
      <c r="A123" s="25"/>
      <c r="B123" s="26"/>
      <c r="C123" s="26"/>
      <c r="D123" s="26"/>
      <c r="E123" s="26"/>
      <c r="F123" s="26"/>
      <c r="G123" s="26"/>
      <c r="H123" s="27">
        <f>G120*SQRT((1/F120)+(1/F121))</f>
        <v>2.2229165581936163</v>
      </c>
      <c r="I123" s="28"/>
    </row>
    <row r="124" spans="1:9" ht="12.75">
      <c r="A124" s="25"/>
      <c r="B124" s="26" t="s">
        <v>48</v>
      </c>
      <c r="C124" s="26"/>
      <c r="D124" s="26"/>
      <c r="E124" s="55" t="s">
        <v>64</v>
      </c>
      <c r="F124" s="55"/>
      <c r="G124" s="26"/>
      <c r="H124" s="26">
        <f>H122/H123</f>
        <v>-1.6494846165734023</v>
      </c>
      <c r="I124" s="28"/>
    </row>
    <row r="125" spans="1:9" ht="12.75">
      <c r="A125" s="25"/>
      <c r="B125" s="26">
        <v>1</v>
      </c>
      <c r="C125" s="26">
        <v>2</v>
      </c>
      <c r="D125" s="26"/>
      <c r="E125" s="26">
        <v>1</v>
      </c>
      <c r="F125" s="26">
        <v>2</v>
      </c>
      <c r="G125" s="26"/>
      <c r="H125" s="26"/>
      <c r="I125" s="28"/>
    </row>
    <row r="126" spans="1:9" ht="12.75">
      <c r="A126" s="25"/>
      <c r="B126" s="29">
        <v>32</v>
      </c>
      <c r="C126" s="29">
        <v>35</v>
      </c>
      <c r="D126" s="26"/>
      <c r="E126" s="30">
        <f aca="true" t="shared" si="0" ref="E126:E134">(B126-$B$135)^2</f>
        <v>10.382716049382712</v>
      </c>
      <c r="F126" s="30">
        <f aca="true" t="shared" si="1" ref="F126:F134">(C126-$C$135)^2</f>
        <v>11.864197530864187</v>
      </c>
      <c r="G126" s="26"/>
      <c r="H126" s="26"/>
      <c r="I126" s="28"/>
    </row>
    <row r="127" spans="1:9" ht="12.75">
      <c r="A127" s="25"/>
      <c r="B127" s="29">
        <v>37</v>
      </c>
      <c r="C127" s="29">
        <v>31</v>
      </c>
      <c r="D127" s="26"/>
      <c r="E127" s="30">
        <f t="shared" si="0"/>
        <v>3.1604938271604968</v>
      </c>
      <c r="F127" s="30">
        <f t="shared" si="1"/>
        <v>0.30864197530864373</v>
      </c>
      <c r="G127" s="26"/>
      <c r="H127" s="26"/>
      <c r="I127" s="28"/>
    </row>
    <row r="128" spans="1:9" ht="12.75">
      <c r="A128" s="25"/>
      <c r="B128" s="29">
        <v>35</v>
      </c>
      <c r="C128" s="29">
        <v>29</v>
      </c>
      <c r="D128" s="26"/>
      <c r="E128" s="30">
        <f t="shared" si="0"/>
        <v>0.049382716049382366</v>
      </c>
      <c r="F128" s="30">
        <f t="shared" si="1"/>
        <v>6.530864197530872</v>
      </c>
      <c r="G128" s="26"/>
      <c r="H128" s="26"/>
      <c r="I128" s="28"/>
    </row>
    <row r="129" spans="1:9" ht="12.75">
      <c r="A129" s="25"/>
      <c r="B129" s="29">
        <v>28</v>
      </c>
      <c r="C129" s="29">
        <v>25</v>
      </c>
      <c r="D129" s="26"/>
      <c r="E129" s="30">
        <f t="shared" si="0"/>
        <v>52.16049382716048</v>
      </c>
      <c r="F129" s="30">
        <f t="shared" si="1"/>
        <v>42.97530864197533</v>
      </c>
      <c r="G129" s="26"/>
      <c r="H129" s="26"/>
      <c r="I129" s="28"/>
    </row>
    <row r="130" spans="1:9" ht="12.75">
      <c r="A130" s="25"/>
      <c r="B130" s="29">
        <v>41</v>
      </c>
      <c r="C130" s="29">
        <v>34</v>
      </c>
      <c r="D130" s="26"/>
      <c r="E130" s="30">
        <f t="shared" si="0"/>
        <v>33.38271604938272</v>
      </c>
      <c r="F130" s="30">
        <f t="shared" si="1"/>
        <v>5.9753086419753005</v>
      </c>
      <c r="G130" s="26"/>
      <c r="H130" s="26"/>
      <c r="I130" s="28"/>
    </row>
    <row r="131" spans="1:9" ht="12.75">
      <c r="A131" s="25"/>
      <c r="B131" s="29">
        <v>44</v>
      </c>
      <c r="C131" s="29">
        <v>40</v>
      </c>
      <c r="D131" s="26"/>
      <c r="E131" s="30">
        <f t="shared" si="0"/>
        <v>77.0493827160494</v>
      </c>
      <c r="F131" s="30">
        <f t="shared" si="1"/>
        <v>71.30864197530862</v>
      </c>
      <c r="G131" s="26"/>
      <c r="H131" s="26"/>
      <c r="I131" s="28"/>
    </row>
    <row r="132" spans="1:9" ht="12.75">
      <c r="A132" s="25"/>
      <c r="B132" s="29">
        <v>35</v>
      </c>
      <c r="C132" s="29">
        <v>27</v>
      </c>
      <c r="D132" s="26"/>
      <c r="E132" s="30">
        <f t="shared" si="0"/>
        <v>0.049382716049382366</v>
      </c>
      <c r="F132" s="30">
        <f t="shared" si="1"/>
        <v>20.7530864197531</v>
      </c>
      <c r="G132" s="26"/>
      <c r="H132" s="26"/>
      <c r="I132" s="28"/>
    </row>
    <row r="133" spans="1:9" ht="12.75">
      <c r="A133" s="25"/>
      <c r="B133" s="29">
        <v>31</v>
      </c>
      <c r="C133" s="29">
        <v>32</v>
      </c>
      <c r="D133" s="26"/>
      <c r="E133" s="30">
        <f t="shared" si="0"/>
        <v>17.827160493827154</v>
      </c>
      <c r="F133" s="30">
        <f t="shared" si="1"/>
        <v>0.19753086419752947</v>
      </c>
      <c r="G133" s="26"/>
      <c r="H133" s="26"/>
      <c r="I133" s="28"/>
    </row>
    <row r="134" spans="1:9" ht="12.75">
      <c r="A134" s="25"/>
      <c r="B134" s="29">
        <v>34</v>
      </c>
      <c r="C134" s="29">
        <v>31</v>
      </c>
      <c r="D134" s="26"/>
      <c r="E134" s="30">
        <f t="shared" si="0"/>
        <v>1.4938271604938251</v>
      </c>
      <c r="F134" s="30">
        <f t="shared" si="1"/>
        <v>0.30864197530864373</v>
      </c>
      <c r="G134" s="26"/>
      <c r="H134" s="26"/>
      <c r="I134" s="28"/>
    </row>
    <row r="135" spans="1:9" ht="12.75">
      <c r="A135" s="25" t="s">
        <v>49</v>
      </c>
      <c r="B135" s="26">
        <f>AVERAGE(B126:B134)</f>
        <v>35.22222222222222</v>
      </c>
      <c r="C135" s="26">
        <f>AVERAGE(C126:C134)</f>
        <v>31.555555555555557</v>
      </c>
      <c r="D135" s="31" t="s">
        <v>63</v>
      </c>
      <c r="E135" s="32">
        <f>SUM(E126:E134)</f>
        <v>195.55555555555557</v>
      </c>
      <c r="F135" s="32">
        <f>SUM(F126:F134)</f>
        <v>160.22222222222217</v>
      </c>
      <c r="G135" s="26"/>
      <c r="H135" s="26"/>
      <c r="I135" s="28"/>
    </row>
    <row r="136" spans="1:9" ht="12.75">
      <c r="A136" s="25" t="s">
        <v>50</v>
      </c>
      <c r="B136" s="26">
        <f>STDEV(B126:B134)</f>
        <v>4.944132324730432</v>
      </c>
      <c r="C136" s="26">
        <f>STDEV(C126:C134)</f>
        <v>4.475240527365856</v>
      </c>
      <c r="D136" s="31" t="s">
        <v>51</v>
      </c>
      <c r="E136" s="27">
        <f>SQRT(E135/8)</f>
        <v>4.944132324730442</v>
      </c>
      <c r="F136" s="27">
        <f>SQRT(F135/8)</f>
        <v>4.47524052736585</v>
      </c>
      <c r="G136" s="26"/>
      <c r="H136" s="26"/>
      <c r="I136" s="28"/>
    </row>
    <row r="137" spans="1:9" ht="12.75">
      <c r="A137" s="25"/>
      <c r="B137" s="26"/>
      <c r="C137" s="26">
        <f>COUNT(C126:C134)</f>
        <v>9</v>
      </c>
      <c r="D137" s="26"/>
      <c r="E137" s="26"/>
      <c r="F137" s="26"/>
      <c r="G137" s="26"/>
      <c r="H137" s="26"/>
      <c r="I137" s="28"/>
    </row>
    <row r="138" spans="1:9" ht="12.75">
      <c r="A138" s="25"/>
      <c r="B138" s="26"/>
      <c r="C138" s="26"/>
      <c r="D138" s="26"/>
      <c r="E138" s="26">
        <f>(E135+F135)/(16)</f>
        <v>22.236111111111107</v>
      </c>
      <c r="F138" s="26"/>
      <c r="G138" s="26"/>
      <c r="H138" s="26"/>
      <c r="I138" s="28"/>
    </row>
    <row r="139" spans="1:9" ht="12.75">
      <c r="A139" s="33"/>
      <c r="B139" s="34"/>
      <c r="C139" s="34"/>
      <c r="D139" s="34"/>
      <c r="E139" s="34">
        <f>SQRT(E138)</f>
        <v>4.715518116931702</v>
      </c>
      <c r="F139" s="34"/>
      <c r="G139" s="34"/>
      <c r="H139" s="34"/>
      <c r="I139" s="35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  <row r="203" ht="12.75">
      <c r="F203" s="6"/>
    </row>
    <row r="204" ht="12.75">
      <c r="F204" s="6"/>
    </row>
    <row r="205" ht="12.75">
      <c r="F205" s="6"/>
    </row>
    <row r="206" ht="12.75">
      <c r="F206" s="6"/>
    </row>
    <row r="207" ht="12.75">
      <c r="F207" s="6"/>
    </row>
    <row r="208" ht="12.75">
      <c r="F208" s="6"/>
    </row>
    <row r="209" ht="12.75">
      <c r="F209" s="6"/>
    </row>
    <row r="210" ht="12.75">
      <c r="F210" s="6"/>
    </row>
    <row r="211" ht="12.75">
      <c r="F211" s="6"/>
    </row>
    <row r="212" spans="6:15" ht="12.75">
      <c r="F212" s="6"/>
      <c r="O212" s="50"/>
    </row>
    <row r="213" spans="6:15" ht="12.75">
      <c r="F213" s="6"/>
      <c r="O213" s="50"/>
    </row>
    <row r="214" spans="6:15" ht="12.75">
      <c r="F214" s="6"/>
      <c r="O214" s="50"/>
    </row>
    <row r="215" spans="6:15" ht="12.75">
      <c r="F215" s="6"/>
      <c r="O215" s="50"/>
    </row>
    <row r="216" spans="6:15" ht="12.75">
      <c r="F216" s="6"/>
      <c r="O216" s="50"/>
    </row>
    <row r="217" spans="6:15" ht="12.75">
      <c r="F217" s="6"/>
      <c r="O217" s="50"/>
    </row>
    <row r="218" spans="6:15" ht="12.75">
      <c r="F218" s="6"/>
      <c r="O218" s="50"/>
    </row>
    <row r="219" ht="12.75">
      <c r="O219" s="50"/>
    </row>
    <row r="220" ht="12.75">
      <c r="O220" s="50"/>
    </row>
    <row r="221" ht="12.75">
      <c r="O221" s="50"/>
    </row>
    <row r="222" ht="12.75">
      <c r="O222" s="50"/>
    </row>
    <row r="223" ht="12.75">
      <c r="O223" s="50"/>
    </row>
    <row r="224" ht="12.75">
      <c r="O224" s="50"/>
    </row>
    <row r="225" ht="12.75">
      <c r="O225" s="50"/>
    </row>
    <row r="226" ht="12.75">
      <c r="O226" s="50"/>
    </row>
    <row r="227" ht="12.75">
      <c r="O227" s="50"/>
    </row>
    <row r="228" ht="12.75">
      <c r="O228" s="50"/>
    </row>
    <row r="229" ht="12.75">
      <c r="O229" s="50"/>
    </row>
    <row r="230" ht="12.75">
      <c r="O230" s="50"/>
    </row>
    <row r="231" ht="12.75">
      <c r="O231" s="50"/>
    </row>
    <row r="232" ht="12.75">
      <c r="O232" s="50"/>
    </row>
    <row r="233" ht="12.75">
      <c r="O233" s="50"/>
    </row>
    <row r="234" ht="12.75">
      <c r="O234" s="50"/>
    </row>
    <row r="235" ht="12.75">
      <c r="O235" s="50"/>
    </row>
    <row r="236" ht="12.75">
      <c r="O236" s="50"/>
    </row>
    <row r="237" ht="12.75">
      <c r="O237" s="50"/>
    </row>
    <row r="238" ht="12.75">
      <c r="O238" s="50"/>
    </row>
    <row r="239" ht="12.75">
      <c r="O239" s="50"/>
    </row>
    <row r="240" ht="12.75">
      <c r="O240" s="50"/>
    </row>
    <row r="241" ht="12.75">
      <c r="O241" s="50"/>
    </row>
    <row r="242" ht="12.75">
      <c r="O242" s="50"/>
    </row>
    <row r="243" ht="12.75">
      <c r="O243" s="50"/>
    </row>
    <row r="244" ht="12.75">
      <c r="O244" s="50"/>
    </row>
    <row r="245" ht="12.75">
      <c r="O245" s="50"/>
    </row>
    <row r="246" ht="12.75">
      <c r="O246" s="50"/>
    </row>
    <row r="247" ht="12.75">
      <c r="O247" s="50"/>
    </row>
    <row r="248" ht="12.75">
      <c r="O248" s="50"/>
    </row>
    <row r="249" ht="12.75">
      <c r="O249" s="50"/>
    </row>
    <row r="250" ht="12.75">
      <c r="O250" s="50"/>
    </row>
    <row r="251" ht="12.75">
      <c r="O251" s="50"/>
    </row>
    <row r="252" ht="12.75">
      <c r="O252" s="50"/>
    </row>
    <row r="253" ht="12.75">
      <c r="O253" s="50"/>
    </row>
    <row r="254" ht="12.75">
      <c r="O254" s="50"/>
    </row>
    <row r="255" ht="12.75">
      <c r="O255" s="50"/>
    </row>
    <row r="256" ht="12.75">
      <c r="O256" s="50"/>
    </row>
    <row r="257" ht="12.75">
      <c r="O257" s="50"/>
    </row>
    <row r="258" ht="12.75">
      <c r="O258" s="50"/>
    </row>
    <row r="259" ht="12.75">
      <c r="O259" s="50"/>
    </row>
    <row r="260" ht="12.75">
      <c r="O260" s="50"/>
    </row>
    <row r="261" ht="12.75">
      <c r="O261" s="50"/>
    </row>
    <row r="262" ht="12.75">
      <c r="O262" s="50"/>
    </row>
    <row r="263" ht="12.75">
      <c r="O263" s="50"/>
    </row>
    <row r="264" ht="12.75">
      <c r="O264" s="50"/>
    </row>
    <row r="265" ht="12.75">
      <c r="O265" s="50"/>
    </row>
    <row r="266" ht="12.75">
      <c r="O266" s="50"/>
    </row>
    <row r="267" ht="12.75">
      <c r="O267" s="50"/>
    </row>
    <row r="268" ht="12.75">
      <c r="O268" s="50"/>
    </row>
    <row r="269" ht="12.75">
      <c r="O269" s="50"/>
    </row>
    <row r="270" ht="12.75">
      <c r="O270" s="50"/>
    </row>
    <row r="271" ht="12.75">
      <c r="O271" s="50"/>
    </row>
    <row r="272" ht="12.75">
      <c r="O272" s="50"/>
    </row>
    <row r="273" ht="12.75">
      <c r="O273" s="50"/>
    </row>
    <row r="274" ht="12.75">
      <c r="O274" s="50"/>
    </row>
    <row r="275" ht="12.75">
      <c r="O275" s="50"/>
    </row>
    <row r="276" ht="12.75">
      <c r="O276" s="50"/>
    </row>
    <row r="277" ht="12.75">
      <c r="O277" s="50"/>
    </row>
    <row r="278" ht="12.75">
      <c r="O278" s="50"/>
    </row>
    <row r="279" ht="12.75">
      <c r="O279" s="50"/>
    </row>
    <row r="280" ht="12.75">
      <c r="O280" s="50"/>
    </row>
    <row r="281" ht="12.75">
      <c r="O281" s="50"/>
    </row>
    <row r="282" ht="12.75">
      <c r="O282" s="50"/>
    </row>
    <row r="283" ht="12.75">
      <c r="O283" s="50"/>
    </row>
    <row r="284" ht="12.75">
      <c r="O284" s="50"/>
    </row>
    <row r="285" ht="12.75">
      <c r="O285" s="50"/>
    </row>
    <row r="286" ht="12.75">
      <c r="O286" s="50"/>
    </row>
    <row r="287" ht="12.75">
      <c r="O287" s="50"/>
    </row>
    <row r="288" ht="12.75">
      <c r="O288" s="50"/>
    </row>
    <row r="289" ht="12.75">
      <c r="O289" s="50"/>
    </row>
    <row r="290" ht="12.75">
      <c r="O290" s="50"/>
    </row>
    <row r="291" ht="12.75">
      <c r="O291" s="50"/>
    </row>
    <row r="292" ht="12.75">
      <c r="O292" s="50"/>
    </row>
    <row r="293" ht="12.75">
      <c r="O293" s="50"/>
    </row>
    <row r="294" ht="12.75">
      <c r="O294" s="50"/>
    </row>
    <row r="295" ht="12.75">
      <c r="O295" s="50"/>
    </row>
    <row r="296" ht="12.75">
      <c r="O296" s="50"/>
    </row>
    <row r="297" ht="12.75">
      <c r="O297" s="50"/>
    </row>
    <row r="298" ht="12.75">
      <c r="O298" s="50"/>
    </row>
    <row r="299" ht="12.75">
      <c r="O299" s="50"/>
    </row>
    <row r="300" ht="12.75">
      <c r="O300" s="50"/>
    </row>
    <row r="301" ht="12.75">
      <c r="O301" s="50"/>
    </row>
    <row r="302" ht="12.75">
      <c r="O302" s="50"/>
    </row>
    <row r="303" ht="12.75">
      <c r="O303" s="50"/>
    </row>
    <row r="304" ht="12.75">
      <c r="O304" s="50"/>
    </row>
    <row r="305" ht="12.75">
      <c r="O305" s="50"/>
    </row>
    <row r="306" ht="12.75">
      <c r="O306" s="50"/>
    </row>
    <row r="307" ht="12.75">
      <c r="O307" s="50"/>
    </row>
    <row r="308" ht="12.75">
      <c r="O308" s="50"/>
    </row>
    <row r="309" ht="12.75">
      <c r="O309" s="50"/>
    </row>
    <row r="310" ht="12.75">
      <c r="O310" s="50"/>
    </row>
    <row r="311" ht="12.75">
      <c r="O311" s="50"/>
    </row>
    <row r="312" ht="12.75">
      <c r="O312" s="50"/>
    </row>
    <row r="313" ht="12.75">
      <c r="O313" s="50"/>
    </row>
    <row r="314" ht="12.75">
      <c r="O314" s="50"/>
    </row>
    <row r="315" ht="12.75">
      <c r="O315" s="50"/>
    </row>
    <row r="316" ht="12.75">
      <c r="O316" s="50"/>
    </row>
    <row r="317" ht="12.75">
      <c r="O317" s="50"/>
    </row>
    <row r="318" ht="12.75">
      <c r="O318" s="50"/>
    </row>
    <row r="319" ht="12.75">
      <c r="O319" s="50"/>
    </row>
    <row r="320" ht="12.75">
      <c r="O320" s="50"/>
    </row>
    <row r="321" ht="12.75">
      <c r="O321" s="50"/>
    </row>
    <row r="322" ht="12.75">
      <c r="O322" s="50"/>
    </row>
    <row r="323" ht="12.75">
      <c r="O323" s="50"/>
    </row>
    <row r="324" ht="12.75">
      <c r="O324" s="50"/>
    </row>
    <row r="325" ht="12.75">
      <c r="O325" s="50"/>
    </row>
    <row r="326" ht="12.75">
      <c r="O326" s="50"/>
    </row>
    <row r="327" ht="12.75">
      <c r="O327" s="50"/>
    </row>
    <row r="328" ht="12.75">
      <c r="O328" s="50"/>
    </row>
    <row r="329" ht="12.75">
      <c r="O329" s="50"/>
    </row>
    <row r="330" ht="12.75">
      <c r="O330" s="50"/>
    </row>
    <row r="331" ht="12.75">
      <c r="O331" s="50"/>
    </row>
    <row r="332" ht="12.75">
      <c r="O332" s="50"/>
    </row>
    <row r="333" ht="12.75">
      <c r="O333" s="50"/>
    </row>
    <row r="334" ht="12.75">
      <c r="O334" s="50"/>
    </row>
    <row r="335" ht="12.75">
      <c r="O335" s="50"/>
    </row>
    <row r="336" ht="12.75">
      <c r="O336" s="50"/>
    </row>
    <row r="337" ht="12.75">
      <c r="O337" s="50"/>
    </row>
    <row r="338" ht="12.75">
      <c r="O338" s="50"/>
    </row>
    <row r="339" ht="12.75">
      <c r="O339" s="50"/>
    </row>
    <row r="340" ht="12.75">
      <c r="O340" s="50"/>
    </row>
    <row r="341" ht="12.75">
      <c r="O341" s="50"/>
    </row>
    <row r="342" ht="12.75">
      <c r="O342" s="50"/>
    </row>
    <row r="343" ht="12.75">
      <c r="O343" s="50"/>
    </row>
    <row r="344" ht="12.75">
      <c r="O344" s="50"/>
    </row>
    <row r="345" ht="12.75">
      <c r="O345" s="50"/>
    </row>
    <row r="346" ht="12.75">
      <c r="O346" s="50"/>
    </row>
    <row r="347" ht="12.75">
      <c r="O347" s="50"/>
    </row>
    <row r="348" ht="12.75">
      <c r="O348" s="50"/>
    </row>
    <row r="349" ht="12.75">
      <c r="O349" s="50"/>
    </row>
    <row r="350" ht="12.75">
      <c r="O350" s="50"/>
    </row>
    <row r="351" ht="12.75">
      <c r="O351" s="50"/>
    </row>
    <row r="352" ht="12.75">
      <c r="O352" s="50"/>
    </row>
    <row r="353" ht="12.75">
      <c r="O353" s="50"/>
    </row>
    <row r="354" ht="12.75">
      <c r="O354" s="50"/>
    </row>
    <row r="355" ht="12.75">
      <c r="O355" s="50"/>
    </row>
    <row r="356" ht="12.75">
      <c r="O356" s="50"/>
    </row>
    <row r="357" ht="12.75">
      <c r="O357" s="50"/>
    </row>
    <row r="358" ht="12.75">
      <c r="O358" s="50"/>
    </row>
    <row r="359" ht="12.75">
      <c r="O359" s="50"/>
    </row>
    <row r="360" ht="12.75">
      <c r="O360" s="50"/>
    </row>
    <row r="361" ht="12.75">
      <c r="O361" s="50"/>
    </row>
    <row r="362" ht="12.75">
      <c r="O362" s="50"/>
    </row>
    <row r="363" ht="12.75">
      <c r="O363" s="50"/>
    </row>
    <row r="364" ht="12.75">
      <c r="O364" s="50"/>
    </row>
    <row r="365" ht="12.75">
      <c r="O365" s="50"/>
    </row>
    <row r="366" ht="12.75">
      <c r="O366" s="50"/>
    </row>
    <row r="367" ht="12.75">
      <c r="O367" s="50"/>
    </row>
    <row r="368" ht="12.75">
      <c r="O368" s="50"/>
    </row>
    <row r="369" ht="12.75">
      <c r="O369" s="50"/>
    </row>
    <row r="370" ht="12.75">
      <c r="O370" s="50"/>
    </row>
    <row r="371" ht="12.75">
      <c r="O371" s="50"/>
    </row>
    <row r="372" ht="12.75">
      <c r="O372" s="50"/>
    </row>
    <row r="373" ht="12.75">
      <c r="O373" s="50"/>
    </row>
    <row r="374" ht="12.75">
      <c r="O374" s="50"/>
    </row>
    <row r="375" ht="12.75">
      <c r="O375" s="50"/>
    </row>
    <row r="376" ht="12.75">
      <c r="O376" s="50"/>
    </row>
    <row r="377" ht="12.75">
      <c r="O377" s="50"/>
    </row>
    <row r="378" ht="12.75">
      <c r="O378" s="50"/>
    </row>
    <row r="379" ht="12.75">
      <c r="O379" s="50"/>
    </row>
    <row r="380" ht="12.75">
      <c r="O380" s="50"/>
    </row>
    <row r="381" ht="12.75">
      <c r="O381" s="50"/>
    </row>
    <row r="382" ht="12.75">
      <c r="O382" s="50"/>
    </row>
    <row r="383" ht="12.75">
      <c r="O383" s="50"/>
    </row>
    <row r="384" ht="12.75">
      <c r="O384" s="50"/>
    </row>
    <row r="385" ht="12.75">
      <c r="O385" s="50"/>
    </row>
    <row r="386" ht="12.75">
      <c r="O386" s="50"/>
    </row>
    <row r="387" ht="12.75">
      <c r="O387" s="50"/>
    </row>
    <row r="388" ht="12.75">
      <c r="O388" s="50"/>
    </row>
    <row r="389" ht="12.75">
      <c r="O389" s="50"/>
    </row>
    <row r="390" ht="12.75">
      <c r="O390" s="50"/>
    </row>
    <row r="391" ht="12.75">
      <c r="O391" s="50"/>
    </row>
    <row r="392" ht="12.75">
      <c r="O392" s="50"/>
    </row>
    <row r="393" ht="12.75">
      <c r="O393" s="50"/>
    </row>
    <row r="394" ht="12.75">
      <c r="O394" s="50"/>
    </row>
    <row r="395" ht="12.75">
      <c r="O395" s="50"/>
    </row>
    <row r="396" ht="12.75">
      <c r="O396" s="50"/>
    </row>
    <row r="397" ht="12.75">
      <c r="O397" s="50"/>
    </row>
    <row r="398" ht="12.75">
      <c r="O398" s="50"/>
    </row>
    <row r="399" ht="12.75">
      <c r="O399" s="50"/>
    </row>
    <row r="400" ht="12.75">
      <c r="O400" s="50"/>
    </row>
    <row r="401" ht="12.75">
      <c r="O401" s="50"/>
    </row>
    <row r="402" ht="12.75">
      <c r="O402" s="50"/>
    </row>
    <row r="403" ht="12.75">
      <c r="O403" s="50"/>
    </row>
    <row r="404" ht="12.75">
      <c r="O404" s="50"/>
    </row>
    <row r="405" ht="12.75">
      <c r="O405" s="50"/>
    </row>
    <row r="406" ht="12.75">
      <c r="O406" s="50"/>
    </row>
    <row r="407" ht="12.75">
      <c r="O407" s="50"/>
    </row>
    <row r="408" ht="12.75">
      <c r="O408" s="50"/>
    </row>
    <row r="409" ht="12.75">
      <c r="O409" s="50"/>
    </row>
    <row r="410" ht="12.75">
      <c r="O410" s="50"/>
    </row>
    <row r="411" ht="12.75">
      <c r="O411" s="50"/>
    </row>
    <row r="412" ht="12.75">
      <c r="O412" s="50"/>
    </row>
    <row r="413" ht="12.75">
      <c r="O413" s="50"/>
    </row>
    <row r="414" ht="12.75">
      <c r="O414" s="50"/>
    </row>
    <row r="415" ht="12.75">
      <c r="O415" s="50"/>
    </row>
    <row r="416" ht="12.75">
      <c r="O416" s="50"/>
    </row>
    <row r="417" ht="12.75">
      <c r="O417" s="50"/>
    </row>
    <row r="418" ht="12.75">
      <c r="O418" s="50"/>
    </row>
    <row r="419" ht="12.75">
      <c r="O419" s="50"/>
    </row>
    <row r="420" ht="12.75">
      <c r="O420" s="50"/>
    </row>
    <row r="421" ht="12.75">
      <c r="O421" s="50"/>
    </row>
    <row r="422" ht="12.75">
      <c r="O422" s="50"/>
    </row>
    <row r="423" ht="12.75">
      <c r="O423" s="50"/>
    </row>
    <row r="424" ht="12.75">
      <c r="O424" s="50"/>
    </row>
    <row r="425" ht="12.75">
      <c r="O425" s="50"/>
    </row>
    <row r="426" ht="12.75">
      <c r="O426" s="50"/>
    </row>
    <row r="427" ht="12.75">
      <c r="O427" s="50"/>
    </row>
    <row r="428" ht="12.75">
      <c r="O428" s="50"/>
    </row>
    <row r="429" ht="12.75">
      <c r="O429" s="50"/>
    </row>
    <row r="430" ht="12.75">
      <c r="O430" s="50"/>
    </row>
    <row r="431" ht="12.75">
      <c r="O431" s="50"/>
    </row>
    <row r="432" ht="12.75">
      <c r="O432" s="50"/>
    </row>
    <row r="433" ht="12.75">
      <c r="O433" s="50"/>
    </row>
    <row r="434" ht="12.75">
      <c r="O434" s="50"/>
    </row>
    <row r="435" ht="12.75">
      <c r="O435" s="50"/>
    </row>
    <row r="436" ht="12.75">
      <c r="O436" s="50"/>
    </row>
    <row r="437" ht="12.75">
      <c r="O437" s="50"/>
    </row>
    <row r="438" ht="12.75">
      <c r="O438" s="50"/>
    </row>
    <row r="439" ht="12.75">
      <c r="O439" s="50"/>
    </row>
    <row r="440" ht="12.75">
      <c r="O440" s="50"/>
    </row>
    <row r="441" ht="12.75">
      <c r="O441" s="50"/>
    </row>
    <row r="442" ht="12.75">
      <c r="O442" s="50"/>
    </row>
    <row r="443" ht="12.75">
      <c r="O443" s="50"/>
    </row>
    <row r="444" ht="12.75">
      <c r="O444" s="50"/>
    </row>
    <row r="445" ht="12.75">
      <c r="O445" s="50"/>
    </row>
    <row r="446" ht="12.75">
      <c r="O446" s="50"/>
    </row>
    <row r="447" ht="12.75">
      <c r="O447" s="50"/>
    </row>
    <row r="448" ht="12.75">
      <c r="O448" s="50"/>
    </row>
    <row r="449" ht="12.75">
      <c r="O449" s="50"/>
    </row>
    <row r="450" ht="12.75">
      <c r="O450" s="50"/>
    </row>
    <row r="451" ht="12.75">
      <c r="O451" s="50"/>
    </row>
    <row r="452" ht="12.75">
      <c r="O452" s="50"/>
    </row>
    <row r="453" ht="12.75">
      <c r="O453" s="50"/>
    </row>
    <row r="454" ht="12.75">
      <c r="O454" s="50"/>
    </row>
    <row r="455" ht="12.75">
      <c r="O455" s="50"/>
    </row>
    <row r="456" ht="12.75">
      <c r="O456" s="50"/>
    </row>
    <row r="457" ht="12.75">
      <c r="O457" s="50"/>
    </row>
    <row r="458" ht="12.75">
      <c r="O458" s="50"/>
    </row>
    <row r="459" ht="12.75">
      <c r="O459" s="50"/>
    </row>
  </sheetData>
  <mergeCells count="4">
    <mergeCell ref="L4:O4"/>
    <mergeCell ref="K21:O25"/>
    <mergeCell ref="F19:H19"/>
    <mergeCell ref="H4:K4"/>
  </mergeCells>
  <printOptions/>
  <pageMargins left="0.75" right="0.75" top="1" bottom="0.78" header="0.5" footer="0.5"/>
  <pageSetup horizontalDpi="600" verticalDpi="600" orientation="portrait" scale="60" r:id="rId2"/>
  <headerFooter alignWithMargins="0">
    <oddHeader>&amp;L&amp;F&amp;C&amp;A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6"/>
  <sheetViews>
    <sheetView workbookViewId="0" topLeftCell="A1">
      <selection activeCell="A1" sqref="A1"/>
    </sheetView>
  </sheetViews>
  <sheetFormatPr defaultColWidth="9.140625" defaultRowHeight="12.75"/>
  <cols>
    <col min="1" max="22" width="9.7109375" style="0" customWidth="1"/>
  </cols>
  <sheetData>
    <row r="1" ht="18.75">
      <c r="A1" s="76" t="s">
        <v>145</v>
      </c>
    </row>
    <row r="3" spans="1:9" ht="15.75">
      <c r="A3" s="77" t="s">
        <v>68</v>
      </c>
      <c r="B3" s="5"/>
      <c r="H3" s="6"/>
      <c r="I3" s="6"/>
    </row>
    <row r="4" spans="3:13" ht="12.75">
      <c r="C4" s="1"/>
      <c r="D4" s="1"/>
      <c r="E4" s="1"/>
      <c r="F4" s="1"/>
      <c r="G4" s="10" t="s">
        <v>44</v>
      </c>
      <c r="H4" s="2" t="s">
        <v>148</v>
      </c>
      <c r="I4" s="92" t="s">
        <v>70</v>
      </c>
      <c r="J4" s="96"/>
      <c r="K4" s="96"/>
      <c r="L4" s="96"/>
      <c r="M4" s="1" t="s">
        <v>61</v>
      </c>
    </row>
    <row r="5" spans="3:12" ht="12.75">
      <c r="C5" s="2" t="s">
        <v>8</v>
      </c>
      <c r="D5" s="2" t="s">
        <v>22</v>
      </c>
      <c r="E5" s="2" t="s">
        <v>43</v>
      </c>
      <c r="F5" s="2" t="s">
        <v>20</v>
      </c>
      <c r="G5" s="10" t="s">
        <v>94</v>
      </c>
      <c r="H5" s="2" t="s">
        <v>149</v>
      </c>
      <c r="I5" s="2" t="s">
        <v>45</v>
      </c>
      <c r="J5" s="2" t="s">
        <v>47</v>
      </c>
      <c r="K5" s="2" t="s">
        <v>46</v>
      </c>
      <c r="L5" s="1"/>
    </row>
    <row r="6" spans="2:14" ht="12.75">
      <c r="B6" s="38" t="s">
        <v>71</v>
      </c>
      <c r="C6" s="44">
        <f>G40</f>
        <v>0.005596919825088945</v>
      </c>
      <c r="D6" s="44">
        <f>H40</f>
        <v>0.0009591953740510443</v>
      </c>
      <c r="E6" s="44">
        <f>C7-C6</f>
        <v>0.002907685216272298</v>
      </c>
      <c r="F6" s="45">
        <f>COUNT($B$40:$F$44)</f>
        <v>17</v>
      </c>
      <c r="G6" s="44">
        <f>SQRT((((F6-1)*D6^2)+((F7-1)*D7^2))/(F6+F7-2))</f>
        <v>0.000867134107901385</v>
      </c>
      <c r="H6" s="44">
        <f>J6*G6/SQRT(F6+F7)</f>
        <v>0.00027940969962596734</v>
      </c>
      <c r="I6" s="41">
        <f>(C7-C6)/(G6*SQRT((1/F6)+(1/F7)))</f>
        <v>10.164820543440975</v>
      </c>
      <c r="J6" s="43">
        <v>1.96</v>
      </c>
      <c r="K6" s="42" t="s">
        <v>69</v>
      </c>
      <c r="L6" s="40" t="s">
        <v>152</v>
      </c>
      <c r="M6" s="69" t="s">
        <v>104</v>
      </c>
      <c r="N6" s="69"/>
    </row>
    <row r="7" spans="2:14" ht="12.75">
      <c r="B7" s="38" t="s">
        <v>72</v>
      </c>
      <c r="C7" s="44">
        <f>R64</f>
        <v>0.008504605041361243</v>
      </c>
      <c r="D7" s="44">
        <f>R66</f>
        <v>0.0007812393119569637</v>
      </c>
      <c r="E7" s="44"/>
      <c r="F7" s="40">
        <f>COUNT(B20:F23)</f>
        <v>20</v>
      </c>
      <c r="G7" s="44"/>
      <c r="H7" s="44"/>
      <c r="I7" s="41"/>
      <c r="J7" s="43"/>
      <c r="K7" s="42"/>
      <c r="L7" s="40"/>
      <c r="M7" s="60" t="s">
        <v>103</v>
      </c>
      <c r="N7" s="69"/>
    </row>
    <row r="8" spans="2:14" ht="12.75">
      <c r="B8" s="38" t="s">
        <v>73</v>
      </c>
      <c r="C8" s="44"/>
      <c r="D8" s="44"/>
      <c r="E8" s="44"/>
      <c r="F8" s="40"/>
      <c r="G8" s="44"/>
      <c r="H8" s="44"/>
      <c r="I8" s="41"/>
      <c r="J8" s="43"/>
      <c r="K8" s="42"/>
      <c r="L8" s="40"/>
      <c r="M8" s="69" t="s">
        <v>102</v>
      </c>
      <c r="N8" s="69"/>
    </row>
    <row r="9" spans="2:14" ht="12.75">
      <c r="B9" s="38" t="s">
        <v>74</v>
      </c>
      <c r="C9" s="44"/>
      <c r="D9" s="44"/>
      <c r="E9" s="44"/>
      <c r="F9" s="40"/>
      <c r="G9" s="44"/>
      <c r="H9" s="44"/>
      <c r="I9" s="40"/>
      <c r="J9" s="43"/>
      <c r="K9" s="42"/>
      <c r="L9" s="40"/>
      <c r="M9" s="69" t="s">
        <v>102</v>
      </c>
      <c r="N9" s="69"/>
    </row>
    <row r="10" spans="2:14" ht="12.75">
      <c r="B10" s="38" t="s">
        <v>75</v>
      </c>
      <c r="C10" s="44">
        <f>G40</f>
        <v>0.005596919825088945</v>
      </c>
      <c r="D10" s="44">
        <f>H40</f>
        <v>0.0009591953740510443</v>
      </c>
      <c r="E10" s="44">
        <f>C11-C10</f>
        <v>0.002747854772160138</v>
      </c>
      <c r="F10" s="45">
        <f>COUNT($B$40:$F$44)</f>
        <v>17</v>
      </c>
      <c r="G10" s="44">
        <f>SQRT((((F10-1)*D10^2)+((F11-1)*D11^2))/(F10+F11-2))</f>
        <v>0.0009852232444611646</v>
      </c>
      <c r="H10" s="44">
        <f>J10*G10/SQRT(F10+F11)</f>
        <v>0.0003174606191718633</v>
      </c>
      <c r="I10" s="41">
        <f>(C11-C10)/(G10*SQRT((1/F10)+(1/F11)))</f>
        <v>8.454690670217381</v>
      </c>
      <c r="J10" s="63">
        <v>1.96</v>
      </c>
      <c r="K10" s="42" t="s">
        <v>69</v>
      </c>
      <c r="L10" s="40" t="s">
        <v>152</v>
      </c>
      <c r="M10" s="69" t="s">
        <v>102</v>
      </c>
      <c r="N10" s="69"/>
    </row>
    <row r="11" spans="2:14" ht="12.75">
      <c r="B11" s="38" t="s">
        <v>76</v>
      </c>
      <c r="C11" s="44">
        <f>R74</f>
        <v>0.008344774597249083</v>
      </c>
      <c r="D11" s="44">
        <f>R76</f>
        <v>0.0010066195957475345</v>
      </c>
      <c r="E11" s="44"/>
      <c r="F11" s="40">
        <f>COUNT(B30:F33)</f>
        <v>20</v>
      </c>
      <c r="G11" s="44"/>
      <c r="H11" s="44"/>
      <c r="I11" s="41"/>
      <c r="J11" s="63"/>
      <c r="K11" s="42"/>
      <c r="L11" s="40"/>
      <c r="M11" s="60" t="s">
        <v>103</v>
      </c>
      <c r="N11" s="69"/>
    </row>
    <row r="12" spans="2:14" ht="12.75">
      <c r="B12" s="38" t="s">
        <v>77</v>
      </c>
      <c r="C12" s="44">
        <f>G40</f>
        <v>0.005596919825088945</v>
      </c>
      <c r="D12" s="44">
        <f>H40</f>
        <v>0.0009591953740510443</v>
      </c>
      <c r="E12" s="44">
        <f>C13-C12</f>
        <v>0.002055800000867732</v>
      </c>
      <c r="F12" s="45">
        <f>COUNT($B$40:$F$44)</f>
        <v>17</v>
      </c>
      <c r="G12" s="44">
        <f>SQRT((((F12-1)*D12^2)+((F13-1)*D13^2))/(F12+F13-2))</f>
        <v>0.0008710591326758707</v>
      </c>
      <c r="H12" s="44">
        <f>J12*G12/SQRT(F12+F13)</f>
        <v>0.0002490317846445814</v>
      </c>
      <c r="I12" s="41">
        <f>(C13-C12)/(G12*SQRT((1/F12)+(1/F13)))</f>
        <v>7.774444766909807</v>
      </c>
      <c r="J12" s="63">
        <v>1.96</v>
      </c>
      <c r="K12" s="42" t="s">
        <v>69</v>
      </c>
      <c r="L12" s="40" t="s">
        <v>152</v>
      </c>
      <c r="M12" s="69" t="s">
        <v>102</v>
      </c>
      <c r="N12" s="69"/>
    </row>
    <row r="13" spans="2:14" ht="12.75">
      <c r="B13" s="38" t="s">
        <v>78</v>
      </c>
      <c r="C13" s="44">
        <f>R69</f>
        <v>0.007652719825956677</v>
      </c>
      <c r="D13" s="44">
        <f>R71</f>
        <v>0.0008183791448744373</v>
      </c>
      <c r="E13" s="44"/>
      <c r="F13" s="40">
        <f>COUNT(B24:F29)</f>
        <v>30</v>
      </c>
      <c r="G13" s="44"/>
      <c r="H13" s="44"/>
      <c r="I13" s="41"/>
      <c r="J13" s="63"/>
      <c r="K13" s="42"/>
      <c r="L13" s="40"/>
      <c r="M13" s="60" t="s">
        <v>103</v>
      </c>
      <c r="N13" s="69"/>
    </row>
    <row r="14" spans="2:14" ht="12.75">
      <c r="B14" s="38" t="s">
        <v>79</v>
      </c>
      <c r="C14" s="44">
        <f>G40</f>
        <v>0.005596919825088945</v>
      </c>
      <c r="D14" s="44">
        <f>H40</f>
        <v>0.0009591953740510443</v>
      </c>
      <c r="E14" s="44">
        <f>C15-C14</f>
        <v>0.001466910712044519</v>
      </c>
      <c r="F14" s="45">
        <f>COUNT($B$40:$F$44)</f>
        <v>17</v>
      </c>
      <c r="G14" s="44">
        <f>SQRT((((F14-1)*D14^2)+((F15-1)*D15^2))/(F14+F15-2))</f>
        <v>0.0008581175877630756</v>
      </c>
      <c r="H14" s="44">
        <f>J14*G14/SQRT(F14+F15)</f>
        <v>0.00028429475829929113</v>
      </c>
      <c r="I14" s="41">
        <f>(C15-C14)/(G14*SQRT((1/F14)+(1/F15)))</f>
        <v>5.054562462981854</v>
      </c>
      <c r="J14" s="63">
        <v>1.96</v>
      </c>
      <c r="K14" s="42" t="s">
        <v>69</v>
      </c>
      <c r="L14" s="40" t="s">
        <v>152</v>
      </c>
      <c r="M14" s="69" t="s">
        <v>102</v>
      </c>
      <c r="N14" s="69"/>
    </row>
    <row r="15" spans="2:14" ht="12.75">
      <c r="B15" s="38" t="s">
        <v>80</v>
      </c>
      <c r="C15" s="44">
        <f>G34</f>
        <v>0.007063830537133464</v>
      </c>
      <c r="D15" s="44">
        <f>H34</f>
        <v>0.0007506537921556344</v>
      </c>
      <c r="E15" s="44"/>
      <c r="F15" s="40">
        <f>COUNT(B34:F39)</f>
        <v>18</v>
      </c>
      <c r="G15" s="44"/>
      <c r="H15" s="44"/>
      <c r="I15" s="41"/>
      <c r="J15" s="40"/>
      <c r="K15" s="40"/>
      <c r="L15" s="40"/>
      <c r="M15" s="69" t="s">
        <v>102</v>
      </c>
      <c r="N15" s="69"/>
    </row>
    <row r="16" spans="1:8" ht="12.75">
      <c r="A16" s="7"/>
      <c r="C16" s="4"/>
      <c r="D16" s="4"/>
      <c r="E16" s="4"/>
      <c r="G16" s="4"/>
      <c r="H16" s="20"/>
    </row>
    <row r="17" spans="1:7" ht="15.75">
      <c r="A17" s="76" t="s">
        <v>100</v>
      </c>
      <c r="C17" s="4"/>
      <c r="D17" s="4"/>
      <c r="E17" s="4"/>
      <c r="G17" s="4"/>
    </row>
    <row r="18" spans="4:25" ht="14.25">
      <c r="D18" s="9" t="s">
        <v>81</v>
      </c>
      <c r="G18" s="92" t="s">
        <v>98</v>
      </c>
      <c r="H18" s="92"/>
      <c r="J18" s="37" t="s">
        <v>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12"/>
      <c r="Y18" s="6"/>
    </row>
    <row r="19" spans="2:25" ht="12.75">
      <c r="B19" s="13" t="s">
        <v>26</v>
      </c>
      <c r="C19" s="13" t="s">
        <v>27</v>
      </c>
      <c r="D19" s="13" t="s">
        <v>28</v>
      </c>
      <c r="E19" s="13" t="s">
        <v>29</v>
      </c>
      <c r="F19" s="13" t="s">
        <v>30</v>
      </c>
      <c r="G19" s="2" t="s">
        <v>8</v>
      </c>
      <c r="H19" s="2" t="s">
        <v>22</v>
      </c>
      <c r="I19" s="2" t="s">
        <v>7</v>
      </c>
      <c r="J19" s="2" t="s">
        <v>111</v>
      </c>
      <c r="K19" s="2" t="s">
        <v>112</v>
      </c>
      <c r="L19" t="s">
        <v>10</v>
      </c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58"/>
      <c r="Y19" s="6"/>
    </row>
    <row r="20" spans="1:25" ht="12.75">
      <c r="A20" s="7" t="s">
        <v>12</v>
      </c>
      <c r="B20" s="59">
        <v>0.0104246640543712</v>
      </c>
      <c r="C20" s="59">
        <v>0.00926288406112524</v>
      </c>
      <c r="D20" s="59">
        <v>0.00729937785185858</v>
      </c>
      <c r="E20" s="59">
        <v>0.00887833529301662</v>
      </c>
      <c r="F20" s="59">
        <v>0.00729692365676084</v>
      </c>
      <c r="G20" s="18">
        <f>AVERAGE(B20:F23)</f>
        <v>0.00949096630046266</v>
      </c>
      <c r="H20" s="53">
        <f>STDEV(B20:F23)</f>
        <v>0.0027136290869249685</v>
      </c>
      <c r="I20" s="53">
        <f>2.093*H20/SQRT(20)</f>
        <v>0.0012700029104849727</v>
      </c>
      <c r="J20" s="18">
        <f>G20-I20</f>
        <v>0.008220963389977687</v>
      </c>
      <c r="K20" s="18">
        <f>G20+I20</f>
        <v>0.010760969210947633</v>
      </c>
      <c r="L20" s="18">
        <v>3.8</v>
      </c>
      <c r="M20" s="18">
        <f>I20</f>
        <v>0.0012700029104849727</v>
      </c>
      <c r="N20" s="53"/>
      <c r="O20" s="53"/>
      <c r="P20" s="53"/>
      <c r="Q20" s="53"/>
      <c r="R20" s="53"/>
      <c r="S20" s="48"/>
      <c r="T20" s="48"/>
      <c r="U20" s="48"/>
      <c r="V20" s="48"/>
      <c r="W20" s="48"/>
      <c r="X20" s="47"/>
      <c r="Y20" s="6"/>
    </row>
    <row r="21" spans="1:25" ht="12.75">
      <c r="A21" s="7" t="s">
        <v>12</v>
      </c>
      <c r="B21" s="59">
        <v>0.012488589870121398</v>
      </c>
      <c r="C21" s="59">
        <v>0.00848450972564797</v>
      </c>
      <c r="D21" s="59">
        <v>0.009665986427753901</v>
      </c>
      <c r="E21" s="59">
        <v>0.00805840212672509</v>
      </c>
      <c r="F21" s="59">
        <v>0.0076661479331913305</v>
      </c>
      <c r="G21" s="18"/>
      <c r="H21" s="18"/>
      <c r="I21" s="18"/>
      <c r="J21" s="18"/>
      <c r="K21" s="18"/>
      <c r="L21" s="18"/>
      <c r="M21" s="18"/>
      <c r="N21" s="53"/>
      <c r="O21" s="53"/>
      <c r="P21" s="53"/>
      <c r="Q21" s="53"/>
      <c r="R21" s="53"/>
      <c r="S21" s="48"/>
      <c r="T21" s="48"/>
      <c r="U21" s="48"/>
      <c r="V21" s="48"/>
      <c r="W21" s="48"/>
      <c r="X21" s="6"/>
      <c r="Y21" s="6"/>
    </row>
    <row r="22" spans="1:25" ht="12.75">
      <c r="A22" s="7" t="s">
        <v>12</v>
      </c>
      <c r="B22" s="59">
        <v>0.0151621615638352</v>
      </c>
      <c r="C22" s="59">
        <v>0.0076891578819653</v>
      </c>
      <c r="D22" s="59">
        <v>0.008461709958401089</v>
      </c>
      <c r="E22" s="59">
        <v>0.0076853133030243105</v>
      </c>
      <c r="F22" s="59">
        <v>0.00809473760725642</v>
      </c>
      <c r="G22" s="18"/>
      <c r="H22" s="18"/>
      <c r="I22" s="18"/>
      <c r="J22" s="18"/>
      <c r="K22" s="18"/>
      <c r="L22" s="18"/>
      <c r="M22" s="18"/>
      <c r="N22" s="53"/>
      <c r="O22" s="53"/>
      <c r="P22" s="53"/>
      <c r="Q22" s="53"/>
      <c r="R22" s="53"/>
      <c r="S22" s="48"/>
      <c r="T22" s="48"/>
      <c r="U22" s="48"/>
      <c r="V22" s="48"/>
      <c r="W22" s="48"/>
      <c r="X22" s="47"/>
      <c r="Y22" s="6"/>
    </row>
    <row r="23" spans="1:25" ht="12.75">
      <c r="A23" s="7" t="s">
        <v>12</v>
      </c>
      <c r="B23" s="59">
        <v>0.0177467798783064</v>
      </c>
      <c r="C23" s="59">
        <v>0.00846121964065917</v>
      </c>
      <c r="D23" s="59">
        <v>0.00809473760725642</v>
      </c>
      <c r="E23" s="59">
        <v>0.010054777054184099</v>
      </c>
      <c r="F23" s="59">
        <v>0.00884291051379261</v>
      </c>
      <c r="G23" s="18"/>
      <c r="H23" s="53"/>
      <c r="I23" s="53"/>
      <c r="J23" s="18"/>
      <c r="K23" s="18"/>
      <c r="L23" s="18"/>
      <c r="M23" s="18"/>
      <c r="N23" s="53"/>
      <c r="O23" s="53"/>
      <c r="P23" s="53"/>
      <c r="Q23" s="53"/>
      <c r="R23" s="53"/>
      <c r="S23" s="48"/>
      <c r="T23" s="48"/>
      <c r="U23" s="48"/>
      <c r="V23" s="48"/>
      <c r="W23" s="48"/>
      <c r="X23" s="6"/>
      <c r="Y23" s="6"/>
    </row>
    <row r="24" spans="1:25" ht="12.75">
      <c r="A24" s="7" t="s">
        <v>16</v>
      </c>
      <c r="B24" s="57">
        <v>0.0106913355666081</v>
      </c>
      <c r="C24" s="57">
        <v>0.00650886324759533</v>
      </c>
      <c r="D24" s="57">
        <v>0.0080785481320419</v>
      </c>
      <c r="E24" s="57">
        <v>0.0076661479331913305</v>
      </c>
      <c r="F24" s="57">
        <v>0.00709181866265776</v>
      </c>
      <c r="G24" s="18">
        <f>AVERAGE(B24:F29)</f>
        <v>0.008288737126754023</v>
      </c>
      <c r="H24" s="53">
        <f>STDEV(B24:F29)</f>
        <v>0.0017992105972156247</v>
      </c>
      <c r="I24" s="53">
        <f>2.045*H24/SQRT(30)</f>
        <v>0.0006717608433118529</v>
      </c>
      <c r="J24" s="18">
        <f>G24-I24</f>
        <v>0.00761697628344217</v>
      </c>
      <c r="K24" s="18">
        <f>G24+I24</f>
        <v>0.008960497970065876</v>
      </c>
      <c r="L24" s="18">
        <v>3.9</v>
      </c>
      <c r="M24" s="18">
        <f>I24</f>
        <v>0.0006717608433118529</v>
      </c>
      <c r="N24" s="53"/>
      <c r="O24" s="53"/>
      <c r="P24" s="53"/>
      <c r="Q24" s="53"/>
      <c r="R24" s="53"/>
      <c r="S24" s="48"/>
      <c r="T24" s="48"/>
      <c r="U24" s="48"/>
      <c r="V24" s="48"/>
      <c r="W24" s="48"/>
      <c r="X24" s="6"/>
      <c r="Y24" s="6"/>
    </row>
    <row r="25" spans="1:25" ht="12.75">
      <c r="A25" s="7" t="s">
        <v>16</v>
      </c>
      <c r="B25" s="57">
        <v>0.010431618466682299</v>
      </c>
      <c r="C25" s="57">
        <v>0.0076661479331913305</v>
      </c>
      <c r="D25" s="57">
        <v>0.00867042536030635</v>
      </c>
      <c r="E25" s="57">
        <v>0.00805840212672509</v>
      </c>
      <c r="F25" s="57">
        <v>0.0108041814814614</v>
      </c>
      <c r="G25" s="18"/>
      <c r="H25" s="53"/>
      <c r="I25" s="53"/>
      <c r="J25" s="18"/>
      <c r="K25" s="18"/>
      <c r="L25" s="18"/>
      <c r="M25" s="18"/>
      <c r="N25" s="53"/>
      <c r="O25" s="53"/>
      <c r="P25" s="53"/>
      <c r="Q25" s="53"/>
      <c r="R25" s="53"/>
      <c r="S25" s="48"/>
      <c r="T25" s="48"/>
      <c r="U25" s="48"/>
      <c r="V25" s="48"/>
      <c r="W25" s="48"/>
      <c r="X25" s="47"/>
      <c r="Y25" s="6"/>
    </row>
    <row r="26" spans="1:25" ht="12.75">
      <c r="A26" s="7" t="s">
        <v>16</v>
      </c>
      <c r="B26" s="57">
        <v>0.0114697947488639</v>
      </c>
      <c r="C26" s="57">
        <v>0.00808663476680871</v>
      </c>
      <c r="D26" s="57">
        <v>0.00648938535259006</v>
      </c>
      <c r="E26" s="57">
        <v>0.007881488433299541</v>
      </c>
      <c r="F26" s="57">
        <v>0.0076661479331913305</v>
      </c>
      <c r="G26" s="18"/>
      <c r="H26" s="53"/>
      <c r="I26" s="53"/>
      <c r="J26" s="18"/>
      <c r="K26" s="18"/>
      <c r="L26" s="18"/>
      <c r="M26" s="18"/>
      <c r="N26" s="53"/>
      <c r="O26" s="53"/>
      <c r="P26" s="53"/>
      <c r="Q26" s="53"/>
      <c r="R26" s="53"/>
      <c r="S26" s="48"/>
      <c r="T26" s="48"/>
      <c r="U26" s="48"/>
      <c r="V26" s="48"/>
      <c r="W26" s="48"/>
      <c r="X26" s="6"/>
      <c r="Y26" s="6"/>
    </row>
    <row r="27" spans="1:25" ht="12.75">
      <c r="A27" s="7" t="s">
        <v>16</v>
      </c>
      <c r="B27" s="57">
        <v>0.014090596877007202</v>
      </c>
      <c r="C27" s="57">
        <v>0.00768453139541762</v>
      </c>
      <c r="D27" s="57">
        <v>0.00688507349799314</v>
      </c>
      <c r="E27" s="57">
        <v>0.0065056088159715295</v>
      </c>
      <c r="F27" s="57">
        <v>0.0080785481320419</v>
      </c>
      <c r="G27" s="18"/>
      <c r="H27" s="53"/>
      <c r="I27" s="53"/>
      <c r="J27" s="18"/>
      <c r="K27" s="18"/>
      <c r="L27" s="18"/>
      <c r="M27" s="18"/>
      <c r="N27" s="53"/>
      <c r="O27" s="53"/>
      <c r="P27" s="53"/>
      <c r="Q27" s="53"/>
      <c r="R27" s="53"/>
      <c r="S27" s="48"/>
      <c r="T27" s="48"/>
      <c r="U27" s="48"/>
      <c r="V27" s="48"/>
      <c r="W27" s="48"/>
      <c r="X27" s="47"/>
      <c r="Y27" s="6"/>
    </row>
    <row r="28" spans="1:25" ht="12.75">
      <c r="A28" s="7" t="s">
        <v>16</v>
      </c>
      <c r="B28" s="57">
        <v>0.010403856341687799</v>
      </c>
      <c r="C28" s="57">
        <v>0.00688507349799314</v>
      </c>
      <c r="D28" s="57">
        <v>0.00767763566735696</v>
      </c>
      <c r="E28" s="57">
        <v>0.0060971311590563</v>
      </c>
      <c r="F28" s="57">
        <v>0.0076661479331913305</v>
      </c>
      <c r="G28" s="18"/>
      <c r="H28" s="53"/>
      <c r="I28" s="53"/>
      <c r="J28" s="18"/>
      <c r="K28" s="18"/>
      <c r="L28" s="18"/>
      <c r="M28" s="18"/>
      <c r="N28" s="53"/>
      <c r="O28" s="53"/>
      <c r="P28" s="53"/>
      <c r="Q28" s="53"/>
      <c r="R28" s="53"/>
      <c r="S28" s="48"/>
      <c r="T28" s="48"/>
      <c r="U28" s="48"/>
      <c r="V28" s="48"/>
      <c r="W28" s="48"/>
      <c r="X28" s="6"/>
      <c r="Y28" s="6"/>
    </row>
    <row r="29" spans="1:25" ht="12.75">
      <c r="A29" s="7" t="s">
        <v>16</v>
      </c>
      <c r="B29" s="57">
        <v>0.00991811166553957</v>
      </c>
      <c r="C29" s="57">
        <v>0.0076661479331913305</v>
      </c>
      <c r="D29" s="57">
        <v>0.00766997335631169</v>
      </c>
      <c r="E29" s="57">
        <v>0.00689884364498913</v>
      </c>
      <c r="F29" s="57">
        <v>0.00727389373965758</v>
      </c>
      <c r="G29" s="18"/>
      <c r="H29" s="61"/>
      <c r="I29" s="53"/>
      <c r="J29" s="18"/>
      <c r="K29" s="18"/>
      <c r="L29" s="18"/>
      <c r="M29" s="18"/>
      <c r="N29" s="53"/>
      <c r="O29" s="53"/>
      <c r="P29" s="53"/>
      <c r="Q29" s="53"/>
      <c r="R29" s="53"/>
      <c r="S29" s="48"/>
      <c r="T29" s="48"/>
      <c r="U29" s="48"/>
      <c r="V29" s="48"/>
      <c r="W29" s="48"/>
      <c r="X29" s="6"/>
      <c r="Y29" s="6"/>
    </row>
    <row r="30" spans="1:25" ht="12.75">
      <c r="A30" s="7" t="s">
        <v>18</v>
      </c>
      <c r="B30" s="59">
        <v>0.0130566071151845</v>
      </c>
      <c r="C30" s="59">
        <v>0.00787369564322211</v>
      </c>
      <c r="D30" s="59">
        <v>0.00886501779007709</v>
      </c>
      <c r="E30" s="59">
        <v>0.008066448459352879</v>
      </c>
      <c r="F30" s="59">
        <v>0.00727389373965758</v>
      </c>
      <c r="G30" s="18">
        <f>AVERAGE(B30:F33)</f>
        <v>0.009030818902981795</v>
      </c>
      <c r="H30" s="53">
        <f>STDEV(B30:F33)</f>
        <v>0.0019543609050411298</v>
      </c>
      <c r="I30" s="53">
        <f>2.093*H30/SQRT(20)</f>
        <v>0.0009146585469250272</v>
      </c>
      <c r="J30" s="18">
        <f>G30-I30</f>
        <v>0.008116160356056768</v>
      </c>
      <c r="K30" s="18">
        <f>G30+I30</f>
        <v>0.009945477449906821</v>
      </c>
      <c r="L30" s="18">
        <v>3.95</v>
      </c>
      <c r="M30" s="18">
        <f>I30</f>
        <v>0.0009146585469250272</v>
      </c>
      <c r="N30" s="53"/>
      <c r="O30" s="53"/>
      <c r="P30" s="53"/>
      <c r="Q30" s="53"/>
      <c r="R30" s="53"/>
      <c r="S30" s="48"/>
      <c r="T30" s="48"/>
      <c r="U30" s="48"/>
      <c r="V30" s="48"/>
      <c r="W30" s="48"/>
      <c r="X30" s="47"/>
      <c r="Y30" s="6"/>
    </row>
    <row r="31" spans="1:25" ht="12.75">
      <c r="A31" s="7" t="s">
        <v>18</v>
      </c>
      <c r="B31" s="59">
        <v>0.0114917144961376</v>
      </c>
      <c r="C31" s="59">
        <v>0.007288434256878281</v>
      </c>
      <c r="D31" s="59">
        <v>0.00825894405649936</v>
      </c>
      <c r="E31" s="59">
        <v>0.008066448459352879</v>
      </c>
      <c r="F31" s="59">
        <v>0.0084717829610595</v>
      </c>
      <c r="G31" s="18"/>
      <c r="H31" s="53"/>
      <c r="I31" s="53"/>
      <c r="J31" s="18"/>
      <c r="K31" s="18"/>
      <c r="L31" s="18"/>
      <c r="M31" s="18"/>
      <c r="N31" s="53"/>
      <c r="O31" s="53"/>
      <c r="P31" s="53"/>
      <c r="Q31" s="53"/>
      <c r="R31" s="53"/>
      <c r="S31" s="48"/>
      <c r="T31" s="48"/>
      <c r="U31" s="48"/>
      <c r="V31" s="48"/>
      <c r="W31" s="48"/>
      <c r="X31" s="6"/>
      <c r="Y31" s="6"/>
    </row>
    <row r="32" spans="1:25" ht="12.75">
      <c r="A32" s="7" t="s">
        <v>18</v>
      </c>
      <c r="B32" s="59">
        <v>0.0109219275264633</v>
      </c>
      <c r="C32" s="59">
        <v>0.011963044245236901</v>
      </c>
      <c r="D32" s="59">
        <v>0.00924438604003463</v>
      </c>
      <c r="E32" s="59">
        <v>0.0076661479331913305</v>
      </c>
      <c r="F32" s="59">
        <v>0.0076853133030243105</v>
      </c>
      <c r="G32" s="18"/>
      <c r="H32" s="53"/>
      <c r="I32" s="53"/>
      <c r="J32" s="18"/>
      <c r="K32" s="18"/>
      <c r="L32" s="18"/>
      <c r="M32" s="18"/>
      <c r="N32" s="53"/>
      <c r="O32" s="53"/>
      <c r="P32" s="53"/>
      <c r="Q32" s="53"/>
      <c r="R32" s="53"/>
      <c r="S32" s="48"/>
      <c r="T32" s="48"/>
      <c r="U32" s="48"/>
      <c r="V32" s="48"/>
      <c r="W32" s="48"/>
      <c r="X32" s="47"/>
      <c r="Y32" s="6"/>
    </row>
    <row r="33" spans="1:25" ht="12.75">
      <c r="A33" s="7" t="s">
        <v>18</v>
      </c>
      <c r="B33" s="59">
        <v>0.0130740391674077</v>
      </c>
      <c r="C33" s="59">
        <v>0.008090684158279321</v>
      </c>
      <c r="D33" s="59">
        <v>0.00886501779007709</v>
      </c>
      <c r="E33" s="59">
        <v>0.00748708152411601</v>
      </c>
      <c r="F33" s="59">
        <v>0.00690574939438351</v>
      </c>
      <c r="G33" s="18"/>
      <c r="H33" s="53"/>
      <c r="I33" s="53"/>
      <c r="J33" s="18"/>
      <c r="K33" s="18"/>
      <c r="L33" s="18"/>
      <c r="M33" s="18"/>
      <c r="N33" s="53"/>
      <c r="O33" s="53"/>
      <c r="P33" s="53"/>
      <c r="Q33" s="53"/>
      <c r="R33" s="53"/>
      <c r="S33" s="48"/>
      <c r="T33" s="48"/>
      <c r="U33" s="48"/>
      <c r="V33" s="48"/>
      <c r="W33" s="48"/>
      <c r="X33" s="6"/>
      <c r="Y33" s="6"/>
    </row>
    <row r="34" spans="1:25" ht="12.75">
      <c r="A34" s="7" t="s">
        <v>17</v>
      </c>
      <c r="B34" s="57">
        <v>0.006244851843819591</v>
      </c>
      <c r="C34" s="57">
        <v>0.00627615435932745</v>
      </c>
      <c r="D34" s="57">
        <v>0.00627615435932745</v>
      </c>
      <c r="E34" s="57"/>
      <c r="F34" s="57"/>
      <c r="G34" s="18">
        <f>AVERAGE(B34:F39)</f>
        <v>0.007063830537133464</v>
      </c>
      <c r="H34" s="53">
        <f>STDEV(B34:F39)</f>
        <v>0.0007506537921556344</v>
      </c>
      <c r="I34" s="53">
        <f>2.1*H34/SQRT(18)</f>
        <v>0.00037155467072965244</v>
      </c>
      <c r="J34" s="18">
        <f>G34-I34</f>
        <v>0.006692275866403811</v>
      </c>
      <c r="K34" s="18">
        <f>G34+I34</f>
        <v>0.0074353852078631166</v>
      </c>
      <c r="L34" s="18">
        <v>3</v>
      </c>
      <c r="M34" s="18">
        <f>I34</f>
        <v>0.00037155467072965244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</row>
    <row r="35" spans="1:13" ht="12.75">
      <c r="A35" s="7" t="s">
        <v>17</v>
      </c>
      <c r="B35" s="57">
        <v>0.007867364321748671</v>
      </c>
      <c r="C35" s="57">
        <v>0.0066592387988883605</v>
      </c>
      <c r="D35" s="57">
        <v>0.00714324677774534</v>
      </c>
      <c r="E35" s="57"/>
      <c r="F35" s="57"/>
      <c r="G35" s="18"/>
      <c r="H35" s="53"/>
      <c r="I35" s="53"/>
      <c r="J35" s="18"/>
      <c r="K35" s="18"/>
      <c r="L35" s="18"/>
      <c r="M35" s="18"/>
    </row>
    <row r="36" spans="1:13" ht="12.75">
      <c r="A36" s="7" t="s">
        <v>17</v>
      </c>
      <c r="B36" s="57">
        <v>0.007839883508249549</v>
      </c>
      <c r="C36" s="57">
        <v>0.0082750256648875</v>
      </c>
      <c r="D36" s="57">
        <v>0.0082750256648875</v>
      </c>
      <c r="E36" s="57"/>
      <c r="F36" s="57"/>
      <c r="G36" s="18"/>
      <c r="H36" s="53"/>
      <c r="I36" s="53"/>
      <c r="J36" s="18"/>
      <c r="K36" s="18"/>
      <c r="L36" s="18"/>
      <c r="M36" s="18"/>
    </row>
    <row r="37" spans="1:13" ht="12.75">
      <c r="A37" s="7" t="s">
        <v>17</v>
      </c>
      <c r="B37" s="57">
        <v>0.00706154439654586</v>
      </c>
      <c r="C37" s="57">
        <v>0.00626046397342913</v>
      </c>
      <c r="D37" s="57">
        <v>0.00626046397342913</v>
      </c>
      <c r="E37" s="57"/>
      <c r="F37" s="57"/>
      <c r="G37" s="18"/>
      <c r="H37" s="53"/>
      <c r="I37" s="53"/>
      <c r="J37" s="18"/>
      <c r="K37" s="18"/>
      <c r="L37" s="18"/>
      <c r="M37" s="18"/>
    </row>
    <row r="38" spans="1:13" ht="12.75">
      <c r="A38" s="7" t="s">
        <v>17</v>
      </c>
      <c r="B38" s="57">
        <v>0.00664926490153606</v>
      </c>
      <c r="C38" s="57">
        <v>0.00783597334191127</v>
      </c>
      <c r="D38" s="57">
        <v>0.00783597334191127</v>
      </c>
      <c r="E38" s="57"/>
      <c r="F38" s="57"/>
      <c r="G38" s="18"/>
      <c r="H38" s="53"/>
      <c r="I38" s="53"/>
      <c r="J38" s="18"/>
      <c r="K38" s="18"/>
      <c r="L38" s="18"/>
      <c r="M38" s="18"/>
    </row>
    <row r="39" spans="1:13" ht="12.75">
      <c r="A39" s="7" t="s">
        <v>17</v>
      </c>
      <c r="B39" s="57">
        <v>0.00625108734241551</v>
      </c>
      <c r="C39" s="57">
        <v>0.00706861654917135</v>
      </c>
      <c r="D39" s="57">
        <v>0.00706861654917135</v>
      </c>
      <c r="E39" s="57"/>
      <c r="F39" s="57"/>
      <c r="G39" s="18"/>
      <c r="H39" s="53"/>
      <c r="I39" s="53"/>
      <c r="J39" s="18"/>
      <c r="K39" s="18"/>
      <c r="L39" s="18"/>
      <c r="M39" s="18"/>
    </row>
    <row r="40" spans="1:13" ht="12.75">
      <c r="A40" s="7" t="s">
        <v>15</v>
      </c>
      <c r="B40" s="59">
        <v>0.006730928551299036</v>
      </c>
      <c r="C40" s="59">
        <v>0.005691837588688155</v>
      </c>
      <c r="D40" s="59">
        <v>0.008183537375762195</v>
      </c>
      <c r="E40" s="59"/>
      <c r="F40" s="59"/>
      <c r="G40" s="18">
        <f>AVERAGE(B40:F44)</f>
        <v>0.005596919825088945</v>
      </c>
      <c r="H40" s="53">
        <f>STDEV(B40:F44)</f>
        <v>0.0009591953740510443</v>
      </c>
      <c r="I40" s="53">
        <f>2.12*H40/SQRT(16)</f>
        <v>0.0005083735482470536</v>
      </c>
      <c r="J40" s="18">
        <f>G40-I40</f>
        <v>0.005088546276841891</v>
      </c>
      <c r="K40" s="18">
        <f>G40+I40</f>
        <v>0.006105293373335999</v>
      </c>
      <c r="L40" s="18">
        <v>0</v>
      </c>
      <c r="M40" s="18">
        <f>I40</f>
        <v>0.0005083735482470536</v>
      </c>
    </row>
    <row r="41" spans="1:13" ht="12.75">
      <c r="A41" s="7" t="s">
        <v>15</v>
      </c>
      <c r="B41" s="59">
        <v>0.004374481596311895</v>
      </c>
      <c r="C41" s="59">
        <v>0.0056069997481418745</v>
      </c>
      <c r="D41" s="59">
        <v>0.0052411013887574895</v>
      </c>
      <c r="E41" s="59"/>
      <c r="F41" s="59"/>
      <c r="G41" s="18"/>
      <c r="H41" s="53"/>
      <c r="I41" s="53"/>
      <c r="J41" s="18"/>
      <c r="K41" s="18"/>
      <c r="L41" s="18"/>
      <c r="M41" s="18"/>
    </row>
    <row r="42" spans="1:13" ht="12.75">
      <c r="A42" s="7" t="s">
        <v>15</v>
      </c>
      <c r="B42" s="59">
        <v>0.0054076663818886</v>
      </c>
      <c r="C42" s="59">
        <v>0.004744378285548305</v>
      </c>
      <c r="D42" s="59">
        <v>0.006014679687472132</v>
      </c>
      <c r="E42" s="59">
        <v>0.00456028477038408</v>
      </c>
      <c r="F42" s="59"/>
      <c r="G42" s="18"/>
      <c r="H42" s="53"/>
      <c r="I42" s="53"/>
      <c r="J42" s="18"/>
      <c r="K42" s="18"/>
      <c r="L42" s="18"/>
      <c r="M42" s="18"/>
    </row>
    <row r="43" spans="1:13" ht="12.75">
      <c r="A43" s="7" t="s">
        <v>15</v>
      </c>
      <c r="B43" s="59">
        <v>0.004964211906559755</v>
      </c>
      <c r="C43" s="59">
        <v>0.006659873199059395</v>
      </c>
      <c r="D43" s="59">
        <v>0.0054333270427911</v>
      </c>
      <c r="E43" s="59"/>
      <c r="F43" s="59"/>
      <c r="G43" s="18"/>
      <c r="H43" s="53"/>
      <c r="I43" s="53"/>
      <c r="J43" s="18"/>
      <c r="K43" s="18"/>
      <c r="L43" s="18"/>
      <c r="M43" s="18"/>
    </row>
    <row r="44" spans="1:13" ht="12.75">
      <c r="A44" s="7" t="s">
        <v>15</v>
      </c>
      <c r="B44" s="59">
        <v>0.005911027873267685</v>
      </c>
      <c r="C44" s="59">
        <v>0.00459083272572748</v>
      </c>
      <c r="D44" s="59">
        <v>0.0059753784896804975</v>
      </c>
      <c r="E44" s="59">
        <v>0.005057090415172385</v>
      </c>
      <c r="F44" s="59"/>
      <c r="G44" s="18"/>
      <c r="H44" s="53"/>
      <c r="I44" s="53"/>
      <c r="J44" s="18"/>
      <c r="K44" s="18"/>
      <c r="L44" s="18"/>
      <c r="M44" s="18"/>
    </row>
    <row r="45" spans="1:13" ht="12.75">
      <c r="A45" s="7"/>
      <c r="B45" s="16" t="s">
        <v>33</v>
      </c>
      <c r="C45" s="16"/>
      <c r="D45" s="16"/>
      <c r="E45" s="16"/>
      <c r="F45" s="17"/>
      <c r="G45" s="18"/>
      <c r="H45" s="53"/>
      <c r="I45" s="53"/>
      <c r="J45" s="18"/>
      <c r="K45" s="18"/>
      <c r="L45" s="18"/>
      <c r="M45" s="18"/>
    </row>
    <row r="46" spans="1:13" ht="12.75">
      <c r="A46" s="7" t="s">
        <v>31</v>
      </c>
      <c r="B46" s="18">
        <v>0.00634238714689691</v>
      </c>
      <c r="G46" s="18">
        <f>AVERAGE(B46:B49)</f>
        <v>0.005710003226319815</v>
      </c>
      <c r="H46" s="53">
        <f>STDEV(B46:B49)</f>
        <v>0.0005745547167379483</v>
      </c>
      <c r="I46" s="53">
        <f>3.182*H46/SQRT(4)</f>
        <v>0.0009141165543300757</v>
      </c>
      <c r="J46" s="18">
        <f>G46-I46</f>
        <v>0.004795886671989739</v>
      </c>
      <c r="K46" s="18">
        <f>G46+I46</f>
        <v>0.0066241197806498914</v>
      </c>
      <c r="L46" s="18">
        <v>-1</v>
      </c>
      <c r="M46" s="18">
        <f>I46</f>
        <v>0.0009141165543300757</v>
      </c>
    </row>
    <row r="47" spans="1:9" ht="12.75">
      <c r="A47" s="7" t="s">
        <v>31</v>
      </c>
      <c r="B47" s="18">
        <v>0.00600744318213413</v>
      </c>
      <c r="H47" s="62"/>
      <c r="I47" s="6"/>
    </row>
    <row r="48" spans="1:8" ht="12.75">
      <c r="A48" s="7" t="s">
        <v>31</v>
      </c>
      <c r="B48" s="18">
        <v>0.00505844563895913</v>
      </c>
      <c r="H48" s="4"/>
    </row>
    <row r="49" spans="1:2" ht="12.75">
      <c r="A49" s="7" t="s">
        <v>31</v>
      </c>
      <c r="B49" s="18">
        <v>0.00543173693728909</v>
      </c>
    </row>
    <row r="50" spans="1:2" ht="12.75">
      <c r="A50" s="7"/>
      <c r="B50" s="15"/>
    </row>
    <row r="51" spans="1:9" ht="14.25">
      <c r="A51" s="19" t="s">
        <v>32</v>
      </c>
      <c r="B51" s="15"/>
      <c r="D51" s="9" t="s">
        <v>99</v>
      </c>
      <c r="I51" s="1" t="s">
        <v>61</v>
      </c>
    </row>
    <row r="52" spans="2:7" ht="12.75">
      <c r="B52" s="13" t="s">
        <v>26</v>
      </c>
      <c r="C52" s="13" t="s">
        <v>27</v>
      </c>
      <c r="D52" s="13" t="s">
        <v>28</v>
      </c>
      <c r="E52" s="13" t="s">
        <v>29</v>
      </c>
      <c r="F52" s="13" t="s">
        <v>30</v>
      </c>
      <c r="G52" s="10" t="s">
        <v>8</v>
      </c>
    </row>
    <row r="53" spans="1:12" ht="12.75">
      <c r="A53" s="7" t="s">
        <v>12</v>
      </c>
      <c r="B53" s="60">
        <f>AVERAGE(B20:B23)</f>
        <v>0.01395554884165855</v>
      </c>
      <c r="C53" s="18">
        <f>AVERAGE(C20:C23)</f>
        <v>0.00847444282734942</v>
      </c>
      <c r="D53" s="18">
        <f>AVERAGE(D20:D23)</f>
        <v>0.008380452961317498</v>
      </c>
      <c r="E53" s="18">
        <f>AVERAGE(E20:E23)</f>
        <v>0.00866920694423753</v>
      </c>
      <c r="F53" s="18">
        <f>AVERAGE(F20:F23)</f>
        <v>0.007975179927750299</v>
      </c>
      <c r="G53" s="18">
        <f>G20</f>
        <v>0.00949096630046266</v>
      </c>
      <c r="I53" s="101" t="s">
        <v>107</v>
      </c>
      <c r="J53" s="102"/>
      <c r="K53" s="102"/>
      <c r="L53" s="102"/>
    </row>
    <row r="54" spans="1:12" ht="12.75">
      <c r="A54" s="7" t="s">
        <v>16</v>
      </c>
      <c r="B54" s="60">
        <f>AVERAGE(B24:B29)</f>
        <v>0.01116755227773148</v>
      </c>
      <c r="C54" s="18">
        <f>AVERAGE(C24:C29)</f>
        <v>0.007416233129032911</v>
      </c>
      <c r="D54" s="18">
        <f>AVERAGE(D24:D29)</f>
        <v>0.007578506894433349</v>
      </c>
      <c r="E54" s="18">
        <f>AVERAGE(E24:E29)</f>
        <v>0.0071846036855388205</v>
      </c>
      <c r="F54" s="18">
        <f>AVERAGE(F24:F29)</f>
        <v>0.00809678964703355</v>
      </c>
      <c r="G54" s="18">
        <f>G24</f>
        <v>0.008288737126754023</v>
      </c>
      <c r="I54" s="102"/>
      <c r="J54" s="102"/>
      <c r="K54" s="102"/>
      <c r="L54" s="102"/>
    </row>
    <row r="55" spans="1:12" ht="12.75">
      <c r="A55" s="7" t="s">
        <v>18</v>
      </c>
      <c r="B55" s="60">
        <f>AVERAGE(B30:B33)</f>
        <v>0.012136072076298276</v>
      </c>
      <c r="C55" s="18">
        <f>AVERAGE(C30:C33)</f>
        <v>0.008803964575904153</v>
      </c>
      <c r="D55" s="18">
        <f>AVERAGE(D30:D33)</f>
        <v>0.008808341419172042</v>
      </c>
      <c r="E55" s="18">
        <f>AVERAGE(E30:E33)</f>
        <v>0.007821531594003275</v>
      </c>
      <c r="F55" s="18">
        <f>AVERAGE(F30:F33)</f>
        <v>0.007584184849531226</v>
      </c>
      <c r="G55" s="18">
        <f>G30</f>
        <v>0.009030818902981795</v>
      </c>
      <c r="I55" s="102"/>
      <c r="J55" s="102"/>
      <c r="K55" s="102"/>
      <c r="L55" s="102"/>
    </row>
    <row r="56" spans="1:12" ht="12.75">
      <c r="A56" s="7" t="s">
        <v>17</v>
      </c>
      <c r="B56" s="18">
        <f>AVERAGE(B34:B39)</f>
        <v>0.006985666052385874</v>
      </c>
      <c r="C56" s="18">
        <f>AVERAGE(C34:C39)</f>
        <v>0.007062578781269177</v>
      </c>
      <c r="D56" s="18">
        <f>AVERAGE(D34:D39)</f>
        <v>0.007143246777745339</v>
      </c>
      <c r="E56" s="18"/>
      <c r="F56" s="18"/>
      <c r="G56" s="18">
        <f>G34</f>
        <v>0.007063830537133464</v>
      </c>
      <c r="I56" s="102"/>
      <c r="J56" s="102"/>
      <c r="K56" s="102"/>
      <c r="L56" s="102"/>
    </row>
    <row r="57" spans="1:9" ht="12.75">
      <c r="A57" s="7" t="s">
        <v>15</v>
      </c>
      <c r="B57" s="18">
        <f>AVERAGE(B40:B44)</f>
        <v>0.005477663261865394</v>
      </c>
      <c r="C57" s="18">
        <f>AVERAGE(C40:C44)</f>
        <v>0.005458784309433041</v>
      </c>
      <c r="D57" s="18">
        <f>AVERAGE(D40:D44)</f>
        <v>0.0061696047968926825</v>
      </c>
      <c r="E57" s="18">
        <f>AVERAGE(E40:E44)</f>
        <v>0.004808687592778233</v>
      </c>
      <c r="F57" s="18"/>
      <c r="G57" s="18">
        <f>G40</f>
        <v>0.005596919825088945</v>
      </c>
      <c r="I57" s="13"/>
    </row>
    <row r="58" spans="1:9" ht="12.75">
      <c r="A58" s="1"/>
      <c r="B58" s="4"/>
      <c r="C58" s="4"/>
      <c r="D58" s="4"/>
      <c r="E58" s="4"/>
      <c r="F58" s="4"/>
      <c r="I58" s="13"/>
    </row>
    <row r="59" spans="1:9" ht="15.75">
      <c r="A59" s="77" t="s">
        <v>101</v>
      </c>
      <c r="B59" s="4"/>
      <c r="C59" s="4"/>
      <c r="D59" s="4"/>
      <c r="E59" s="4"/>
      <c r="F59" s="4"/>
      <c r="I59" s="13"/>
    </row>
    <row r="60" spans="1:9" ht="12.75">
      <c r="A60" s="7"/>
      <c r="B60" s="4" t="s">
        <v>65</v>
      </c>
      <c r="C60" s="4"/>
      <c r="D60" s="4"/>
      <c r="E60" s="4"/>
      <c r="F60" s="4"/>
      <c r="I60" s="13"/>
    </row>
    <row r="61" spans="7:17" ht="12.75">
      <c r="G61" s="10" t="s">
        <v>89</v>
      </c>
      <c r="H61" s="93" t="s">
        <v>95</v>
      </c>
      <c r="I61" s="93"/>
      <c r="J61" s="93"/>
      <c r="K61" s="93"/>
      <c r="L61" s="93"/>
      <c r="M61" s="93" t="s">
        <v>91</v>
      </c>
      <c r="N61" s="93"/>
      <c r="O61" s="93"/>
      <c r="P61" s="93"/>
      <c r="Q61" s="93"/>
    </row>
    <row r="62" spans="2:20" ht="14.25">
      <c r="B62" s="13" t="s">
        <v>26</v>
      </c>
      <c r="C62" s="13" t="s">
        <v>27</v>
      </c>
      <c r="D62" s="13" t="s">
        <v>28</v>
      </c>
      <c r="E62" s="13" t="s">
        <v>29</v>
      </c>
      <c r="F62" s="13" t="s">
        <v>30</v>
      </c>
      <c r="G62" s="10" t="s">
        <v>93</v>
      </c>
      <c r="H62" s="13" t="s">
        <v>26</v>
      </c>
      <c r="I62" s="13" t="s">
        <v>27</v>
      </c>
      <c r="J62" s="13" t="s">
        <v>28</v>
      </c>
      <c r="K62" s="13" t="s">
        <v>29</v>
      </c>
      <c r="L62" s="13" t="s">
        <v>30</v>
      </c>
      <c r="M62" s="13" t="s">
        <v>26</v>
      </c>
      <c r="N62" s="13" t="s">
        <v>27</v>
      </c>
      <c r="O62" s="13" t="s">
        <v>28</v>
      </c>
      <c r="P62" s="13" t="s">
        <v>29</v>
      </c>
      <c r="Q62" s="13" t="s">
        <v>30</v>
      </c>
      <c r="R62" s="2" t="s">
        <v>92</v>
      </c>
      <c r="S62" s="10" t="s">
        <v>96</v>
      </c>
      <c r="T62" s="1" t="s">
        <v>113</v>
      </c>
    </row>
    <row r="63" spans="1:20" ht="12.75">
      <c r="A63" s="7" t="s">
        <v>12</v>
      </c>
      <c r="B63" s="49">
        <v>0.0104246640543712</v>
      </c>
      <c r="C63" s="49">
        <v>0.00926288406112524</v>
      </c>
      <c r="D63" s="49">
        <v>0.00729937785185858</v>
      </c>
      <c r="E63" s="49">
        <v>0.00887833529301662</v>
      </c>
      <c r="F63" s="49">
        <v>0.00729692365676084</v>
      </c>
      <c r="G63" s="13" t="s">
        <v>26</v>
      </c>
      <c r="H63" s="49">
        <f>B63*10/115</f>
        <v>0.000906492526467061</v>
      </c>
      <c r="I63" s="49">
        <f aca="true" t="shared" si="0" ref="I63:L66">C63*105/115</f>
        <v>0.008457415881896958</v>
      </c>
      <c r="J63" s="49">
        <f t="shared" si="0"/>
        <v>0.006664649343001312</v>
      </c>
      <c r="K63" s="49">
        <f t="shared" si="0"/>
        <v>0.008106306137102132</v>
      </c>
      <c r="L63" s="49">
        <f t="shared" si="0"/>
        <v>0.006662408556172941</v>
      </c>
      <c r="M63" s="51">
        <f>(B63-$G$64)^2*10/115</f>
        <v>1.0840997722693247E-06</v>
      </c>
      <c r="N63" s="51">
        <f aca="true" t="shared" si="1" ref="N63:Q66">(C63-$G$66)^2*105/115</f>
        <v>7.200777608774824E-07</v>
      </c>
      <c r="O63" s="51">
        <f t="shared" si="1"/>
        <v>1.0560053103687657E-06</v>
      </c>
      <c r="P63" s="51">
        <f t="shared" si="1"/>
        <v>2.3148115607388974E-07</v>
      </c>
      <c r="Q63" s="51">
        <f t="shared" si="1"/>
        <v>1.060830485878258E-06</v>
      </c>
      <c r="R63" s="10" t="s">
        <v>93</v>
      </c>
      <c r="S63" s="54">
        <v>2.093</v>
      </c>
      <c r="T63" s="51">
        <f>S63*R66/COUNT(B63:F66)</f>
        <v>8.175669399629626E-05</v>
      </c>
    </row>
    <row r="64" spans="1:21" ht="12.75">
      <c r="A64" s="7" t="s">
        <v>12</v>
      </c>
      <c r="B64" s="49">
        <v>0.012488589870121398</v>
      </c>
      <c r="C64" s="49">
        <v>0.00848450972564797</v>
      </c>
      <c r="D64" s="49">
        <v>0.009665986427753901</v>
      </c>
      <c r="E64" s="49">
        <v>0.00805840212672509</v>
      </c>
      <c r="F64" s="49">
        <v>0.0076661479331913305</v>
      </c>
      <c r="G64" s="51">
        <f>AVERAGE(B63:B66)</f>
        <v>0.01395554884165855</v>
      </c>
      <c r="H64" s="49">
        <f>B64*10/115</f>
        <v>0.0010859643365322955</v>
      </c>
      <c r="I64" s="49">
        <f t="shared" si="0"/>
        <v>0.007746726271243799</v>
      </c>
      <c r="J64" s="49">
        <f t="shared" si="0"/>
        <v>0.00882546586881878</v>
      </c>
      <c r="K64" s="49">
        <f t="shared" si="0"/>
        <v>0.007357671507009865</v>
      </c>
      <c r="L64" s="49">
        <f t="shared" si="0"/>
        <v>0.0069995263737833895</v>
      </c>
      <c r="M64" s="51">
        <f>(B64-$G$64)^2*10/115</f>
        <v>1.8712770644985552E-07</v>
      </c>
      <c r="N64" s="51">
        <f t="shared" si="1"/>
        <v>1.0985456077757504E-08</v>
      </c>
      <c r="O64" s="51">
        <f t="shared" si="1"/>
        <v>1.5221430241821138E-06</v>
      </c>
      <c r="P64" s="51">
        <f t="shared" si="1"/>
        <v>9.141454438347684E-08</v>
      </c>
      <c r="Q64" s="51">
        <f t="shared" si="1"/>
        <v>4.585459939941045E-07</v>
      </c>
      <c r="R64" s="51">
        <f>(SUM(H63:H66)+SUM(I63:L66))/(COUNT(B63:B66)*10/115+COUNT(C63:F66)*105/115)</f>
        <v>0.008504605041361243</v>
      </c>
      <c r="T64" s="2" t="s">
        <v>111</v>
      </c>
      <c r="U64" s="2" t="s">
        <v>112</v>
      </c>
    </row>
    <row r="65" spans="1:21" ht="12.75">
      <c r="A65" s="7" t="s">
        <v>12</v>
      </c>
      <c r="B65" s="49">
        <v>0.0151621615638352</v>
      </c>
      <c r="C65" s="49">
        <v>0.0076891578819653</v>
      </c>
      <c r="D65" s="49">
        <v>0.008461709958401089</v>
      </c>
      <c r="E65" s="49">
        <v>0.0076853133030243105</v>
      </c>
      <c r="F65" s="49">
        <v>0.00809473760725642</v>
      </c>
      <c r="G65" s="13" t="s">
        <v>34</v>
      </c>
      <c r="H65" s="49">
        <f>B65*10/115</f>
        <v>0.0013184488316378435</v>
      </c>
      <c r="I65" s="49">
        <f t="shared" si="0"/>
        <v>0.0070205354574465785</v>
      </c>
      <c r="J65" s="49">
        <f t="shared" si="0"/>
        <v>0.007725909092453168</v>
      </c>
      <c r="K65" s="49">
        <f t="shared" si="0"/>
        <v>0.007017025189717849</v>
      </c>
      <c r="L65" s="49">
        <f t="shared" si="0"/>
        <v>0.00739084738053847</v>
      </c>
      <c r="M65" s="51">
        <f>(B65-$G$64)^2*10/115</f>
        <v>1.26601240114656E-07</v>
      </c>
      <c r="N65" s="51">
        <f t="shared" si="1"/>
        <v>4.2925228250132643E-07</v>
      </c>
      <c r="O65" s="51">
        <f t="shared" si="1"/>
        <v>6.893249341965343E-09</v>
      </c>
      <c r="P65" s="51">
        <f t="shared" si="1"/>
        <v>4.340794978840174E-07</v>
      </c>
      <c r="Q65" s="51">
        <f t="shared" si="1"/>
        <v>7.162508286349503E-08</v>
      </c>
      <c r="R65" s="2" t="s">
        <v>94</v>
      </c>
      <c r="T65" s="51">
        <f>R64-T63</f>
        <v>0.008422848347364946</v>
      </c>
      <c r="U65" s="51">
        <f>R64+T63</f>
        <v>0.00858636173535754</v>
      </c>
    </row>
    <row r="66" spans="1:18" ht="12.75">
      <c r="A66" s="7" t="s">
        <v>12</v>
      </c>
      <c r="B66" s="49">
        <v>0.0177467798783064</v>
      </c>
      <c r="C66" s="49">
        <v>0.00846121964065917</v>
      </c>
      <c r="D66" s="49">
        <v>0.00809473760725642</v>
      </c>
      <c r="E66" s="49">
        <v>0.010054777054184099</v>
      </c>
      <c r="F66" s="49">
        <v>0.00884291051379261</v>
      </c>
      <c r="G66" s="51">
        <f>AVERAGE(C63:F66)</f>
        <v>0.008374820665163686</v>
      </c>
      <c r="H66" s="49">
        <f>B66*10/115</f>
        <v>0.0015431982502875131</v>
      </c>
      <c r="I66" s="49">
        <f t="shared" si="0"/>
        <v>0.007725461411036634</v>
      </c>
      <c r="J66" s="49">
        <f t="shared" si="0"/>
        <v>0.00739084738053847</v>
      </c>
      <c r="K66" s="49">
        <f t="shared" si="0"/>
        <v>0.00918044861468983</v>
      </c>
      <c r="L66" s="49">
        <f t="shared" si="0"/>
        <v>0.008073961773462817</v>
      </c>
      <c r="M66" s="51">
        <f>(B66-$G$64)^2*10/115</f>
        <v>1.249863719412342E-06</v>
      </c>
      <c r="N66" s="51">
        <f t="shared" si="1"/>
        <v>6.815671404350247E-09</v>
      </c>
      <c r="O66" s="51">
        <f t="shared" si="1"/>
        <v>7.162508286349503E-08</v>
      </c>
      <c r="P66" s="51">
        <f t="shared" si="1"/>
        <v>2.576840123879157E-06</v>
      </c>
      <c r="Q66" s="51">
        <f t="shared" si="1"/>
        <v>2.0005522757297494E-07</v>
      </c>
      <c r="R66" s="52">
        <f>SQRT(SUM(M63:Q66)/(COUNT(B63:F66)-1))</f>
        <v>0.0007812393119569637</v>
      </c>
    </row>
    <row r="67" spans="1:17" ht="12.75">
      <c r="A67" s="7" t="s">
        <v>16</v>
      </c>
      <c r="B67" s="18">
        <v>0.0106913355666081</v>
      </c>
      <c r="C67" s="18">
        <v>0.00650886324759533</v>
      </c>
      <c r="D67" s="18">
        <v>0.0080785481320419</v>
      </c>
      <c r="E67" s="18">
        <v>0.0076661479331913305</v>
      </c>
      <c r="F67" s="18">
        <v>0.00709181866265776</v>
      </c>
      <c r="G67" s="53"/>
      <c r="H67" s="53">
        <f aca="true" t="shared" si="2" ref="H67:H72">B67*10/115</f>
        <v>0.0009296813536180958</v>
      </c>
      <c r="I67" s="53">
        <f aca="true" t="shared" si="3" ref="I67:I72">C67*105/115</f>
        <v>0.005942875139108779</v>
      </c>
      <c r="J67" s="53">
        <f aca="true" t="shared" si="4" ref="J67:J72">D67*105/115</f>
        <v>0.0073760656857773865</v>
      </c>
      <c r="K67" s="53">
        <f aca="true" t="shared" si="5" ref="K67:K72">E67*105/115</f>
        <v>0.0069995263737833895</v>
      </c>
      <c r="L67" s="53">
        <f aca="true" t="shared" si="6" ref="L67:L72">F67*105/115</f>
        <v>0.00647513877894839</v>
      </c>
      <c r="M67" s="53">
        <f aca="true" t="shared" si="7" ref="M67:M72">(B67-$G$69)^2*10/115</f>
        <v>1.9720204865492832E-08</v>
      </c>
      <c r="N67" s="53">
        <f aca="true" t="shared" si="8" ref="N67:N72">(C67-$G$71)^2*105/115</f>
        <v>1.026224916405166E-06</v>
      </c>
      <c r="O67" s="53">
        <f aca="true" t="shared" si="9" ref="O67:Q72">(D67-$G$71)^2*105/115</f>
        <v>2.3703094829097498E-07</v>
      </c>
      <c r="P67" s="53">
        <f t="shared" si="9"/>
        <v>8.611136194108063E-09</v>
      </c>
      <c r="Q67" s="53">
        <f t="shared" si="9"/>
        <v>2.0793090407993927E-07</v>
      </c>
    </row>
    <row r="68" spans="1:20" ht="14.25">
      <c r="A68" s="7" t="s">
        <v>16</v>
      </c>
      <c r="B68" s="18">
        <v>0.010431618466682299</v>
      </c>
      <c r="C68" s="18">
        <v>0.0076661479331913305</v>
      </c>
      <c r="D68" s="18">
        <v>0.00867042536030635</v>
      </c>
      <c r="E68" s="18">
        <v>0.00805840212672509</v>
      </c>
      <c r="F68" s="18">
        <v>0.0108041814814614</v>
      </c>
      <c r="G68" s="13" t="s">
        <v>26</v>
      </c>
      <c r="H68" s="53">
        <f t="shared" si="2"/>
        <v>0.0009070972579723739</v>
      </c>
      <c r="I68" s="53">
        <f t="shared" si="3"/>
        <v>0.0069995263737833895</v>
      </c>
      <c r="J68" s="53">
        <f t="shared" si="4"/>
        <v>0.007916475328975364</v>
      </c>
      <c r="K68" s="53">
        <f t="shared" si="5"/>
        <v>0.007357671507009865</v>
      </c>
      <c r="L68" s="53">
        <f t="shared" si="6"/>
        <v>0.00986468743959519</v>
      </c>
      <c r="M68" s="53">
        <f t="shared" si="7"/>
        <v>4.7095528195249626E-08</v>
      </c>
      <c r="N68" s="53">
        <f t="shared" si="8"/>
        <v>8.611136194108063E-09</v>
      </c>
      <c r="O68" s="53">
        <f t="shared" si="9"/>
        <v>1.107580525047661E-06</v>
      </c>
      <c r="P68" s="53">
        <f t="shared" si="9"/>
        <v>2.1865730513875976E-07</v>
      </c>
      <c r="Q68" s="53">
        <f t="shared" si="9"/>
        <v>9.556080590251648E-06</v>
      </c>
      <c r="R68" s="10" t="s">
        <v>93</v>
      </c>
      <c r="S68" s="10" t="s">
        <v>96</v>
      </c>
      <c r="T68" s="1" t="s">
        <v>113</v>
      </c>
    </row>
    <row r="69" spans="1:20" ht="12.75">
      <c r="A69" s="7" t="s">
        <v>16</v>
      </c>
      <c r="B69" s="18">
        <v>0.0114697947488639</v>
      </c>
      <c r="C69" s="18">
        <v>0.00808663476680871</v>
      </c>
      <c r="D69" s="18">
        <v>0.00648938535259006</v>
      </c>
      <c r="E69" s="18">
        <v>0.007881488433299541</v>
      </c>
      <c r="F69" s="18">
        <v>0.0076661479331913305</v>
      </c>
      <c r="G69" s="51">
        <f>AVERAGE(B67:B72)</f>
        <v>0.01116755227773148</v>
      </c>
      <c r="H69" s="53">
        <f t="shared" si="2"/>
        <v>0.0009973734564229478</v>
      </c>
      <c r="I69" s="53">
        <f t="shared" si="3"/>
        <v>0.007383449134912301</v>
      </c>
      <c r="J69" s="53">
        <f t="shared" si="4"/>
        <v>0.005925090974103968</v>
      </c>
      <c r="K69" s="53">
        <f t="shared" si="5"/>
        <v>0.007196141613012624</v>
      </c>
      <c r="L69" s="53">
        <f t="shared" si="6"/>
        <v>0.0069995263737833895</v>
      </c>
      <c r="M69" s="53">
        <f t="shared" si="7"/>
        <v>7.943522726628884E-09</v>
      </c>
      <c r="N69" s="53">
        <f t="shared" si="8"/>
        <v>2.4461460866312855E-07</v>
      </c>
      <c r="O69" s="53">
        <f t="shared" si="9"/>
        <v>1.0642797941816431E-06</v>
      </c>
      <c r="P69" s="53">
        <f t="shared" si="9"/>
        <v>8.913877847398609E-08</v>
      </c>
      <c r="Q69" s="53">
        <f t="shared" si="9"/>
        <v>8.611136194108063E-09</v>
      </c>
      <c r="R69" s="51">
        <f>(SUM(H67:H72)+SUM(I67:L72))/(COUNT(H67:H72)*10/115+COUNT(I67:L72)*105/115)</f>
        <v>0.007652719825956677</v>
      </c>
      <c r="S69" s="54">
        <v>2.045</v>
      </c>
      <c r="T69" s="51">
        <f>S69*R71/COUNT(B68:F71)</f>
        <v>8.36792675634112E-05</v>
      </c>
    </row>
    <row r="70" spans="1:21" ht="12.75">
      <c r="A70" s="7" t="s">
        <v>16</v>
      </c>
      <c r="B70" s="18">
        <v>0.014090596877007202</v>
      </c>
      <c r="C70" s="18">
        <v>0.00768453139541762</v>
      </c>
      <c r="D70" s="18">
        <v>0.00688507349799314</v>
      </c>
      <c r="E70" s="18">
        <v>0.0065056088159715295</v>
      </c>
      <c r="F70" s="18">
        <v>0.0080785481320419</v>
      </c>
      <c r="G70" s="13" t="s">
        <v>34</v>
      </c>
      <c r="H70" s="53">
        <f t="shared" si="2"/>
        <v>0.0012252692936528002</v>
      </c>
      <c r="I70" s="53">
        <f t="shared" si="3"/>
        <v>0.007016311274076957</v>
      </c>
      <c r="J70" s="53">
        <f t="shared" si="4"/>
        <v>0.006286371454689388</v>
      </c>
      <c r="K70" s="53">
        <f t="shared" si="5"/>
        <v>0.005939903701539223</v>
      </c>
      <c r="L70" s="53">
        <f t="shared" si="6"/>
        <v>0.0073760656857773865</v>
      </c>
      <c r="M70" s="53">
        <f t="shared" si="7"/>
        <v>7.429730199439103E-07</v>
      </c>
      <c r="N70" s="53">
        <f t="shared" si="8"/>
        <v>1.217981833540643E-08</v>
      </c>
      <c r="O70" s="53">
        <f t="shared" si="9"/>
        <v>4.2712271072131225E-07</v>
      </c>
      <c r="P70" s="53">
        <f t="shared" si="9"/>
        <v>1.0325350452250586E-06</v>
      </c>
      <c r="Q70" s="53">
        <f t="shared" si="9"/>
        <v>2.3703094829097498E-07</v>
      </c>
      <c r="R70" s="2" t="s">
        <v>94</v>
      </c>
      <c r="T70" s="2" t="s">
        <v>111</v>
      </c>
      <c r="U70" s="2" t="s">
        <v>112</v>
      </c>
    </row>
    <row r="71" spans="1:21" ht="12.75">
      <c r="A71" s="7" t="s">
        <v>16</v>
      </c>
      <c r="B71" s="18">
        <v>0.010403856341687799</v>
      </c>
      <c r="C71" s="18">
        <v>0.00688507349799314</v>
      </c>
      <c r="D71" s="18">
        <v>0.00767763566735696</v>
      </c>
      <c r="E71" s="18">
        <v>0.0060971311590563</v>
      </c>
      <c r="F71" s="18">
        <v>0.0076661479331913305</v>
      </c>
      <c r="G71" s="51">
        <f>AVERAGE(C67:F72)</f>
        <v>0.007569033339009659</v>
      </c>
      <c r="H71" s="53">
        <f t="shared" si="2"/>
        <v>0.0009046831601467652</v>
      </c>
      <c r="I71" s="53">
        <f t="shared" si="3"/>
        <v>0.006286371454689388</v>
      </c>
      <c r="J71" s="53">
        <f t="shared" si="4"/>
        <v>0.007010015174543311</v>
      </c>
      <c r="K71" s="53">
        <f t="shared" si="5"/>
        <v>0.005566945840877491</v>
      </c>
      <c r="L71" s="53">
        <f t="shared" si="6"/>
        <v>0.0069995263737833895</v>
      </c>
      <c r="M71" s="53">
        <f t="shared" si="7"/>
        <v>5.071578110692458E-08</v>
      </c>
      <c r="N71" s="53">
        <f t="shared" si="8"/>
        <v>4.2712271072131225E-07</v>
      </c>
      <c r="O71" s="53">
        <f t="shared" si="9"/>
        <v>1.0768860007458877E-08</v>
      </c>
      <c r="P71" s="53">
        <f t="shared" si="9"/>
        <v>1.9781050684513253E-06</v>
      </c>
      <c r="Q71" s="53">
        <f t="shared" si="9"/>
        <v>8.611136194108063E-09</v>
      </c>
      <c r="R71" s="52">
        <f>SQRT(SUM(M67:Q72)/(COUNT(B67:F72)-1))</f>
        <v>0.0008183791448744373</v>
      </c>
      <c r="T71" s="51">
        <f>R69-T69</f>
        <v>0.007569040558393266</v>
      </c>
      <c r="U71" s="51">
        <f>R69+T69</f>
        <v>0.007736399093520088</v>
      </c>
    </row>
    <row r="72" spans="1:17" ht="12.75">
      <c r="A72" s="7" t="s">
        <v>16</v>
      </c>
      <c r="B72" s="18">
        <v>0.00991811166553957</v>
      </c>
      <c r="C72" s="18">
        <v>0.0076661479331913305</v>
      </c>
      <c r="D72" s="18">
        <v>0.00766997335631169</v>
      </c>
      <c r="E72" s="18">
        <v>0.00689884364498913</v>
      </c>
      <c r="F72" s="18">
        <v>0.00727389373965758</v>
      </c>
      <c r="G72" s="53"/>
      <c r="H72" s="53">
        <f t="shared" si="2"/>
        <v>0.0008624444926556147</v>
      </c>
      <c r="I72" s="53">
        <f t="shared" si="3"/>
        <v>0.0069995263737833895</v>
      </c>
      <c r="J72" s="53">
        <f t="shared" si="4"/>
        <v>0.007003019151415022</v>
      </c>
      <c r="K72" s="53">
        <f t="shared" si="5"/>
        <v>0.006298944197598771</v>
      </c>
      <c r="L72" s="53">
        <f t="shared" si="6"/>
        <v>0.006641381240556921</v>
      </c>
      <c r="M72" s="53">
        <f t="shared" si="7"/>
        <v>1.3574798638212982E-07</v>
      </c>
      <c r="N72" s="53">
        <f t="shared" si="8"/>
        <v>8.611136194108063E-09</v>
      </c>
      <c r="O72" s="53">
        <f t="shared" si="9"/>
        <v>9.30289691094007E-09</v>
      </c>
      <c r="P72" s="53">
        <f t="shared" si="9"/>
        <v>4.100973367564323E-07</v>
      </c>
      <c r="Q72" s="53">
        <f t="shared" si="9"/>
        <v>7.953282805303568E-08</v>
      </c>
    </row>
    <row r="73" spans="1:20" ht="14.25">
      <c r="A73" s="7" t="s">
        <v>18</v>
      </c>
      <c r="B73" s="49">
        <v>0.0130566071151845</v>
      </c>
      <c r="C73" s="49">
        <v>0.00787369564322211</v>
      </c>
      <c r="D73" s="49">
        <v>0.00886501779007709</v>
      </c>
      <c r="E73" s="49">
        <v>0.008066448459352879</v>
      </c>
      <c r="F73" s="49">
        <v>0.00727389373965758</v>
      </c>
      <c r="G73" s="13" t="s">
        <v>26</v>
      </c>
      <c r="H73" s="49">
        <f>B73*10/115</f>
        <v>0.0011353571404508261</v>
      </c>
      <c r="I73" s="49">
        <f aca="true" t="shared" si="10" ref="I73:L76">C73*105/115</f>
        <v>0.00718902645685497</v>
      </c>
      <c r="J73" s="49">
        <f t="shared" si="10"/>
        <v>0.008094146677896473</v>
      </c>
      <c r="K73" s="49">
        <f t="shared" si="10"/>
        <v>0.007365018158539585</v>
      </c>
      <c r="L73" s="49">
        <f t="shared" si="10"/>
        <v>0.006641381240556921</v>
      </c>
      <c r="M73" s="51">
        <f>(B73-$G$74)^2*10/115</f>
        <v>7.368563111454454E-08</v>
      </c>
      <c r="N73" s="51">
        <f>(C73-$G$76)^2*105/115</f>
        <v>1.3240612352999177E-07</v>
      </c>
      <c r="O73" s="51">
        <f aca="true" t="shared" si="11" ref="O73:Q76">(D73-$G$76)^2*105/115</f>
        <v>3.4031424223382857E-07</v>
      </c>
      <c r="P73" s="51">
        <f t="shared" si="11"/>
        <v>3.229023162419461E-08</v>
      </c>
      <c r="Q73" s="51">
        <f t="shared" si="11"/>
        <v>8.779822796122084E-07</v>
      </c>
      <c r="R73" s="10" t="s">
        <v>93</v>
      </c>
      <c r="S73" s="10" t="s">
        <v>96</v>
      </c>
      <c r="T73" s="1" t="s">
        <v>113</v>
      </c>
    </row>
    <row r="74" spans="1:20" ht="12.75">
      <c r="A74" s="7" t="s">
        <v>18</v>
      </c>
      <c r="B74" s="49">
        <v>0.0114917144961376</v>
      </c>
      <c r="C74" s="49">
        <v>0.007288434256878281</v>
      </c>
      <c r="D74" s="49">
        <v>0.00825894405649936</v>
      </c>
      <c r="E74" s="49">
        <v>0.008066448459352879</v>
      </c>
      <c r="F74" s="49">
        <v>0.0084717829610595</v>
      </c>
      <c r="G74" s="51">
        <f>AVERAGE(B73:B76)</f>
        <v>0.012136072076298276</v>
      </c>
      <c r="H74" s="49">
        <f>B74*10/115</f>
        <v>0.0009992795214032696</v>
      </c>
      <c r="I74" s="49">
        <f t="shared" si="10"/>
        <v>0.006654657364975821</v>
      </c>
      <c r="J74" s="49">
        <f t="shared" si="10"/>
        <v>0.007540775008108111</v>
      </c>
      <c r="K74" s="49">
        <f t="shared" si="10"/>
        <v>0.007365018158539585</v>
      </c>
      <c r="L74" s="49">
        <f t="shared" si="10"/>
        <v>0.007735106181836935</v>
      </c>
      <c r="M74" s="51">
        <f>(B74-$G$74)^2*10/115</f>
        <v>3.610406009656717E-08</v>
      </c>
      <c r="N74" s="51">
        <f>(C74-$G$76)^2*105/115</f>
        <v>8.521378709425342E-07</v>
      </c>
      <c r="O74" s="51">
        <f t="shared" si="11"/>
        <v>1.798678341860328E-11</v>
      </c>
      <c r="P74" s="51">
        <f t="shared" si="11"/>
        <v>3.229023162419461E-08</v>
      </c>
      <c r="Q74" s="51">
        <f t="shared" si="11"/>
        <v>4.3104278092246476E-08</v>
      </c>
      <c r="R74" s="51">
        <f>(SUM(H73:H76)+SUM(I73:L76))/(COUNT(B73:B76)*10/115+COUNT(C73:F76)*105/115)</f>
        <v>0.008344774597249083</v>
      </c>
      <c r="S74" s="54">
        <v>2.093</v>
      </c>
      <c r="T74" s="51">
        <f>S74*R76/COUNT(B73:F76)</f>
        <v>0.00010534274069497948</v>
      </c>
    </row>
    <row r="75" spans="1:21" ht="12.75">
      <c r="A75" s="7" t="s">
        <v>18</v>
      </c>
      <c r="B75" s="49">
        <v>0.0109219275264633</v>
      </c>
      <c r="C75" s="49">
        <v>0.011963044245236901</v>
      </c>
      <c r="D75" s="49">
        <v>0.00924438604003463</v>
      </c>
      <c r="E75" s="49">
        <v>0.0076661479331913305</v>
      </c>
      <c r="F75" s="49">
        <v>0.0076853133030243105</v>
      </c>
      <c r="G75" s="13" t="s">
        <v>34</v>
      </c>
      <c r="H75" s="49">
        <f>B75*10/115</f>
        <v>0.000949732828388113</v>
      </c>
      <c r="I75" s="49">
        <f t="shared" si="10"/>
        <v>0.01092277952825978</v>
      </c>
      <c r="J75" s="49">
        <f t="shared" si="10"/>
        <v>0.008440526384379445</v>
      </c>
      <c r="K75" s="49">
        <f t="shared" si="10"/>
        <v>0.0069995263737833895</v>
      </c>
      <c r="L75" s="49">
        <f t="shared" si="10"/>
        <v>0.007017025189717849</v>
      </c>
      <c r="M75" s="51">
        <f>(B75-$G$74)^2*10/115</f>
        <v>1.2818669459947633E-07</v>
      </c>
      <c r="N75" s="51">
        <f>(C75-$G$76)^2*105/115</f>
        <v>1.2557323262784315E-05</v>
      </c>
      <c r="O75" s="51">
        <f t="shared" si="11"/>
        <v>8.946577650224564E-07</v>
      </c>
      <c r="P75" s="51">
        <f t="shared" si="11"/>
        <v>3.160634723682964E-07</v>
      </c>
      <c r="Q75" s="51">
        <f t="shared" si="11"/>
        <v>2.9580771827927235E-07</v>
      </c>
      <c r="R75" s="2" t="s">
        <v>94</v>
      </c>
      <c r="T75" s="2" t="s">
        <v>111</v>
      </c>
      <c r="U75" s="2" t="s">
        <v>112</v>
      </c>
    </row>
    <row r="76" spans="1:21" ht="12.75">
      <c r="A76" s="7" t="s">
        <v>18</v>
      </c>
      <c r="B76" s="49">
        <v>0.0130740391674077</v>
      </c>
      <c r="C76" s="49">
        <v>0.008090684158279321</v>
      </c>
      <c r="D76" s="49">
        <v>0.00886501779007709</v>
      </c>
      <c r="E76" s="49">
        <v>0.00748708152411601</v>
      </c>
      <c r="F76" s="49">
        <v>0.00690574939438351</v>
      </c>
      <c r="G76" s="51">
        <f>AVERAGE(C73:F76)</f>
        <v>0.008254505609652674</v>
      </c>
      <c r="H76" s="49">
        <f>B76*10/115</f>
        <v>0.0011368729710789305</v>
      </c>
      <c r="I76" s="49">
        <f t="shared" si="10"/>
        <v>0.007387146405385466</v>
      </c>
      <c r="J76" s="49">
        <f t="shared" si="10"/>
        <v>0.008094146677896473</v>
      </c>
      <c r="K76" s="49">
        <f t="shared" si="10"/>
        <v>0.006836030956801574</v>
      </c>
      <c r="L76" s="49">
        <f t="shared" si="10"/>
        <v>0.006305249447045813</v>
      </c>
      <c r="M76" s="51">
        <f>(B76-$G$74)^2*10/115</f>
        <v>7.650280556558899E-08</v>
      </c>
      <c r="N76" s="51">
        <f>(C76-$G$76)^2*105/115</f>
        <v>2.4503775066587467E-08</v>
      </c>
      <c r="O76" s="51">
        <f t="shared" si="11"/>
        <v>3.4031424223382857E-07</v>
      </c>
      <c r="P76" s="51">
        <f t="shared" si="11"/>
        <v>5.377275768825003E-07</v>
      </c>
      <c r="Q76" s="51">
        <f t="shared" si="11"/>
        <v>1.660956951859617E-06</v>
      </c>
      <c r="R76" s="52">
        <f>SQRT(SUM(M73:Q76)/(COUNT(B73:F76)-1))</f>
        <v>0.0010066195957475345</v>
      </c>
      <c r="T76" s="51">
        <f>R74-T74</f>
        <v>0.008239431856554104</v>
      </c>
      <c r="U76" s="51">
        <f>R74+T74</f>
        <v>0.008450117337944062</v>
      </c>
    </row>
    <row r="77" spans="1:17" ht="12.75">
      <c r="A77" s="7" t="s">
        <v>17</v>
      </c>
      <c r="B77" s="18">
        <v>0.006244851843819591</v>
      </c>
      <c r="C77" s="18">
        <v>0.00627615435932745</v>
      </c>
      <c r="D77" s="18">
        <v>0.00627615435932745</v>
      </c>
      <c r="E77" s="18"/>
      <c r="F77" s="18"/>
      <c r="H77" s="53"/>
      <c r="I77" s="53"/>
      <c r="J77" s="53"/>
      <c r="K77" s="53"/>
      <c r="L77" s="53"/>
      <c r="M77" s="53"/>
      <c r="N77" s="53"/>
      <c r="O77" s="53"/>
      <c r="P77" s="53"/>
      <c r="Q77" s="53"/>
    </row>
    <row r="78" spans="1:17" ht="14.25">
      <c r="A78" s="7" t="s">
        <v>17</v>
      </c>
      <c r="B78" s="18">
        <v>0.007867364321748671</v>
      </c>
      <c r="C78" s="18">
        <v>0.0066592387988883605</v>
      </c>
      <c r="D78" s="18">
        <v>0.00714324677774534</v>
      </c>
      <c r="E78" s="18"/>
      <c r="F78" s="18"/>
      <c r="G78" s="13" t="s">
        <v>26</v>
      </c>
      <c r="I78" s="10" t="s">
        <v>93</v>
      </c>
      <c r="J78" s="10" t="s">
        <v>96</v>
      </c>
      <c r="K78" s="1" t="s">
        <v>113</v>
      </c>
      <c r="M78" s="53"/>
      <c r="N78" s="100" t="s">
        <v>97</v>
      </c>
      <c r="O78" s="100"/>
      <c r="P78" s="100"/>
      <c r="Q78" s="53"/>
    </row>
    <row r="79" spans="1:17" ht="12.75">
      <c r="A79" s="7" t="s">
        <v>17</v>
      </c>
      <c r="B79" s="18">
        <v>0.007839883508249549</v>
      </c>
      <c r="C79" s="18">
        <v>0.0082750256648875</v>
      </c>
      <c r="D79" s="18">
        <v>0.0082750256648875</v>
      </c>
      <c r="E79" s="18"/>
      <c r="F79" s="18"/>
      <c r="G79" s="51">
        <f>AVERAGE(B77:B82)</f>
        <v>0.006985666052385874</v>
      </c>
      <c r="I79" s="51">
        <f>AVERAGE(B77:F82)</f>
        <v>0.007063830537133464</v>
      </c>
      <c r="J79" s="56">
        <v>2.11</v>
      </c>
      <c r="K79" s="51">
        <f>J79*I81/COUNT(B78:F81)</f>
        <v>0.00013198995845403237</v>
      </c>
      <c r="M79" s="53"/>
      <c r="N79" s="100"/>
      <c r="O79" s="100"/>
      <c r="P79" s="100"/>
      <c r="Q79" s="53"/>
    </row>
    <row r="80" spans="1:17" ht="12.75">
      <c r="A80" s="7" t="s">
        <v>17</v>
      </c>
      <c r="B80" s="18">
        <v>0.00706154439654586</v>
      </c>
      <c r="C80" s="18">
        <v>0.00626046397342913</v>
      </c>
      <c r="D80" s="18">
        <v>0.00626046397342913</v>
      </c>
      <c r="E80" s="18"/>
      <c r="F80" s="18"/>
      <c r="G80" s="13" t="s">
        <v>34</v>
      </c>
      <c r="I80" s="2" t="s">
        <v>94</v>
      </c>
      <c r="K80" s="2" t="s">
        <v>111</v>
      </c>
      <c r="L80" s="2" t="s">
        <v>112</v>
      </c>
      <c r="M80" s="53"/>
      <c r="N80" s="100"/>
      <c r="O80" s="100"/>
      <c r="P80" s="100"/>
      <c r="Q80" s="53"/>
    </row>
    <row r="81" spans="1:17" ht="12.75">
      <c r="A81" s="7" t="s">
        <v>17</v>
      </c>
      <c r="B81" s="18">
        <v>0.00664926490153606</v>
      </c>
      <c r="C81" s="18">
        <v>0.00783597334191127</v>
      </c>
      <c r="D81" s="18">
        <v>0.00783597334191127</v>
      </c>
      <c r="E81" s="18"/>
      <c r="F81" s="18"/>
      <c r="G81" s="51">
        <f>AVERAGE(C77:F82)</f>
        <v>0.007102912779507258</v>
      </c>
      <c r="I81" s="52">
        <f>STDEV(B77:F82)</f>
        <v>0.0007506537921556344</v>
      </c>
      <c r="K81" s="51">
        <f>I79-K79</f>
        <v>0.0069318405786794315</v>
      </c>
      <c r="L81" s="51">
        <f>I79+K79</f>
        <v>0.007195820495587496</v>
      </c>
      <c r="M81" s="53"/>
      <c r="N81" s="100"/>
      <c r="O81" s="100"/>
      <c r="P81" s="100"/>
      <c r="Q81" s="53"/>
    </row>
    <row r="82" spans="1:17" ht="12.75">
      <c r="A82" s="7" t="s">
        <v>17</v>
      </c>
      <c r="B82" s="18">
        <v>0.00625108734241551</v>
      </c>
      <c r="C82" s="18">
        <v>0.00706861654917135</v>
      </c>
      <c r="D82" s="18">
        <v>0.00706861654917135</v>
      </c>
      <c r="E82" s="18"/>
      <c r="F82" s="18"/>
      <c r="G82" s="18"/>
      <c r="M82" s="53"/>
      <c r="N82" s="53"/>
      <c r="O82" s="53"/>
      <c r="P82" s="53"/>
      <c r="Q82" s="53"/>
    </row>
    <row r="83" spans="1:17" ht="14.25">
      <c r="A83" s="7" t="s">
        <v>15</v>
      </c>
      <c r="B83" s="49">
        <v>0.006730928551299036</v>
      </c>
      <c r="C83" s="49">
        <v>0.005691837588688155</v>
      </c>
      <c r="D83" s="49">
        <v>0.008183537375762195</v>
      </c>
      <c r="E83" s="49"/>
      <c r="F83" s="49"/>
      <c r="G83" s="13" t="s">
        <v>26</v>
      </c>
      <c r="I83" s="10" t="s">
        <v>93</v>
      </c>
      <c r="J83" s="10" t="s">
        <v>96</v>
      </c>
      <c r="K83" s="1" t="s">
        <v>113</v>
      </c>
      <c r="M83" s="53"/>
      <c r="N83" s="53"/>
      <c r="O83" s="53"/>
      <c r="P83" s="53"/>
      <c r="Q83" s="53"/>
    </row>
    <row r="84" spans="1:17" ht="12.75">
      <c r="A84" s="7" t="s">
        <v>15</v>
      </c>
      <c r="B84" s="49">
        <v>0.004374481596311895</v>
      </c>
      <c r="C84" s="49">
        <v>0.0056069997481418745</v>
      </c>
      <c r="D84" s="49">
        <v>0.0052411013887574895</v>
      </c>
      <c r="E84" s="49"/>
      <c r="F84" s="49"/>
      <c r="G84" s="51">
        <f>AVERAGE(B83:B87)</f>
        <v>0.005477663261865394</v>
      </c>
      <c r="I84" s="51">
        <f>AVERAGE(B83:F87)</f>
        <v>0.005596919825088945</v>
      </c>
      <c r="J84" s="56">
        <v>2.12</v>
      </c>
      <c r="K84" s="51">
        <f>J84*I86/COUNT(B83:F86)</f>
        <v>0.00015642263022986263</v>
      </c>
      <c r="M84" s="53"/>
      <c r="N84" s="53"/>
      <c r="O84" s="53"/>
      <c r="P84" s="53"/>
      <c r="Q84" s="53"/>
    </row>
    <row r="85" spans="1:17" ht="12.75">
      <c r="A85" s="7" t="s">
        <v>15</v>
      </c>
      <c r="B85" s="49">
        <v>0.0054076663818886</v>
      </c>
      <c r="C85" s="49">
        <v>0.004744378285548305</v>
      </c>
      <c r="D85" s="49">
        <v>0.006014679687472132</v>
      </c>
      <c r="E85" s="49">
        <v>0.00456028477038408</v>
      </c>
      <c r="F85" s="49"/>
      <c r="G85" s="13" t="s">
        <v>34</v>
      </c>
      <c r="I85" s="2" t="s">
        <v>94</v>
      </c>
      <c r="K85" s="2" t="s">
        <v>111</v>
      </c>
      <c r="L85" s="2" t="s">
        <v>112</v>
      </c>
      <c r="M85" s="53"/>
      <c r="N85" s="53"/>
      <c r="O85" s="53"/>
      <c r="P85" s="53"/>
      <c r="Q85" s="53"/>
    </row>
    <row r="86" spans="1:17" ht="12.75">
      <c r="A86" s="7" t="s">
        <v>15</v>
      </c>
      <c r="B86" s="49">
        <v>0.004964211906559755</v>
      </c>
      <c r="C86" s="49">
        <v>0.006659873199059395</v>
      </c>
      <c r="D86" s="49">
        <v>0.0054333270427911</v>
      </c>
      <c r="E86" s="49"/>
      <c r="F86" s="49"/>
      <c r="G86" s="51">
        <f>AVERAGE(C83:F87)</f>
        <v>0.005646610059765424</v>
      </c>
      <c r="I86" s="52">
        <f>STDEV(B83:F87)</f>
        <v>0.0009591953740510443</v>
      </c>
      <c r="K86" s="51">
        <f>I84-K84</f>
        <v>0.005440497194859082</v>
      </c>
      <c r="L86" s="51">
        <f>I84+K84</f>
        <v>0.005753342455318808</v>
      </c>
      <c r="M86" s="53"/>
      <c r="N86" s="53"/>
      <c r="O86" s="53"/>
      <c r="P86" s="53"/>
      <c r="Q86" s="53"/>
    </row>
    <row r="87" spans="1:18" ht="12.75">
      <c r="A87" s="7" t="s">
        <v>15</v>
      </c>
      <c r="B87" s="49">
        <v>0.005911027873267685</v>
      </c>
      <c r="C87" s="49">
        <v>0.00459083272572748</v>
      </c>
      <c r="D87" s="49">
        <v>0.0059753784896804975</v>
      </c>
      <c r="E87" s="49">
        <v>0.005057090415172385</v>
      </c>
      <c r="F87" s="49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18"/>
    </row>
    <row r="88" spans="2:8" ht="12.75">
      <c r="B88" s="53"/>
      <c r="C88" s="53"/>
      <c r="D88" s="53"/>
      <c r="E88" s="53"/>
      <c r="F88" s="53"/>
      <c r="H88" s="36"/>
    </row>
    <row r="89" spans="1:8" ht="12.75">
      <c r="A89" s="19" t="s">
        <v>106</v>
      </c>
      <c r="B89" s="53"/>
      <c r="C89" s="53"/>
      <c r="D89" s="53"/>
      <c r="E89" s="53"/>
      <c r="F89" s="53"/>
      <c r="H89" s="36"/>
    </row>
    <row r="90" spans="1:8" ht="12.75">
      <c r="A90" s="19"/>
      <c r="B90" s="53"/>
      <c r="C90" s="53"/>
      <c r="D90" s="53"/>
      <c r="E90" s="53"/>
      <c r="F90" s="53"/>
      <c r="H90" s="36"/>
    </row>
    <row r="91" spans="1:8" ht="12.75">
      <c r="A91" s="19"/>
      <c r="B91" s="53"/>
      <c r="C91" s="53"/>
      <c r="D91" s="53"/>
      <c r="E91" s="53"/>
      <c r="F91" s="53"/>
      <c r="H91" s="36"/>
    </row>
    <row r="92" spans="1:8" ht="12.75">
      <c r="A92" s="19"/>
      <c r="B92" s="53"/>
      <c r="C92" s="53"/>
      <c r="D92" s="53"/>
      <c r="E92" s="53"/>
      <c r="F92" s="53"/>
      <c r="H92" s="36"/>
    </row>
    <row r="93" spans="1:8" ht="12.75">
      <c r="A93" s="19"/>
      <c r="B93" s="53"/>
      <c r="C93" s="53"/>
      <c r="D93" s="53"/>
      <c r="E93" s="53"/>
      <c r="F93" s="53"/>
      <c r="H93" s="36"/>
    </row>
    <row r="94" spans="1:8" ht="12.75">
      <c r="A94" s="19"/>
      <c r="B94" s="53"/>
      <c r="C94" s="53"/>
      <c r="D94" s="53"/>
      <c r="E94" s="53"/>
      <c r="F94" s="53"/>
      <c r="H94" s="36"/>
    </row>
    <row r="95" spans="1:8" ht="12.75">
      <c r="A95" s="19"/>
      <c r="B95" s="53"/>
      <c r="C95" s="53"/>
      <c r="D95" s="53"/>
      <c r="E95" s="53"/>
      <c r="F95" s="53"/>
      <c r="H95" s="36"/>
    </row>
    <row r="96" spans="1:8" ht="12.75">
      <c r="A96" s="19"/>
      <c r="B96" s="53"/>
      <c r="C96" s="53"/>
      <c r="D96" s="53"/>
      <c r="E96" s="53"/>
      <c r="F96" s="53"/>
      <c r="H96" s="36"/>
    </row>
    <row r="97" spans="1:8" ht="12.75">
      <c r="A97" s="19"/>
      <c r="B97" s="53"/>
      <c r="C97" s="53"/>
      <c r="D97" s="53"/>
      <c r="E97" s="53"/>
      <c r="F97" s="53"/>
      <c r="H97" s="36"/>
    </row>
    <row r="98" spans="1:8" ht="12.75">
      <c r="A98" s="19"/>
      <c r="B98" s="53"/>
      <c r="C98" s="53"/>
      <c r="D98" s="53"/>
      <c r="E98" s="53"/>
      <c r="F98" s="53"/>
      <c r="H98" s="36"/>
    </row>
    <row r="99" spans="1:8" ht="12.75">
      <c r="A99" s="19"/>
      <c r="B99" s="53"/>
      <c r="C99" s="53"/>
      <c r="D99" s="53"/>
      <c r="E99" s="53"/>
      <c r="F99" s="53"/>
      <c r="H99" s="36"/>
    </row>
    <row r="100" spans="1:8" ht="12.75">
      <c r="A100" s="19"/>
      <c r="B100" s="53"/>
      <c r="C100" s="53"/>
      <c r="D100" s="53"/>
      <c r="E100" s="53"/>
      <c r="F100" s="53"/>
      <c r="H100" s="36"/>
    </row>
    <row r="101" spans="1:8" ht="12.75">
      <c r="A101" s="19"/>
      <c r="B101" s="53"/>
      <c r="C101" s="53"/>
      <c r="D101" s="53"/>
      <c r="E101" s="53"/>
      <c r="F101" s="53"/>
      <c r="H101" s="36"/>
    </row>
    <row r="102" spans="1:8" ht="12.75">
      <c r="A102" s="19"/>
      <c r="B102" s="53"/>
      <c r="C102" s="53"/>
      <c r="D102" s="53"/>
      <c r="E102" s="53"/>
      <c r="F102" s="53"/>
      <c r="H102" s="36"/>
    </row>
    <row r="103" spans="1:8" ht="12.75">
      <c r="A103" s="19"/>
      <c r="B103" s="53"/>
      <c r="C103" s="53"/>
      <c r="D103" s="53"/>
      <c r="E103" s="53"/>
      <c r="F103" s="53"/>
      <c r="H103" s="36"/>
    </row>
    <row r="104" spans="1:8" ht="12.75">
      <c r="A104" s="19"/>
      <c r="B104" s="53"/>
      <c r="C104" s="53"/>
      <c r="D104" s="53"/>
      <c r="E104" s="53"/>
      <c r="F104" s="53"/>
      <c r="H104" s="36"/>
    </row>
    <row r="105" spans="1:8" ht="12.75">
      <c r="A105" s="19"/>
      <c r="B105" s="53"/>
      <c r="C105" s="53"/>
      <c r="D105" s="53"/>
      <c r="E105" s="53"/>
      <c r="F105" s="53"/>
      <c r="H105" s="36"/>
    </row>
    <row r="106" spans="1:8" ht="12.75">
      <c r="A106" s="19"/>
      <c r="B106" s="53"/>
      <c r="C106" s="53"/>
      <c r="D106" s="53"/>
      <c r="E106" s="53"/>
      <c r="F106" s="53"/>
      <c r="H106" s="36"/>
    </row>
    <row r="107" spans="1:8" ht="12.75">
      <c r="A107" s="19"/>
      <c r="B107" s="53"/>
      <c r="C107" s="53"/>
      <c r="D107" s="53"/>
      <c r="E107" s="53"/>
      <c r="F107" s="53"/>
      <c r="H107" s="36"/>
    </row>
    <row r="108" spans="1:8" ht="12.75">
      <c r="A108" s="19"/>
      <c r="B108" s="53"/>
      <c r="C108" s="53"/>
      <c r="D108" s="53"/>
      <c r="E108" s="53"/>
      <c r="F108" s="53"/>
      <c r="H108" s="36"/>
    </row>
    <row r="109" spans="1:8" ht="12.75">
      <c r="A109" s="19"/>
      <c r="B109" s="53"/>
      <c r="C109" s="53"/>
      <c r="D109" s="53"/>
      <c r="E109" s="53"/>
      <c r="F109" s="53"/>
      <c r="H109" s="36"/>
    </row>
    <row r="110" spans="1:8" ht="12.75">
      <c r="A110" s="19"/>
      <c r="B110" s="53"/>
      <c r="C110" s="53"/>
      <c r="D110" s="53"/>
      <c r="E110" s="53"/>
      <c r="F110" s="53"/>
      <c r="H110" s="36"/>
    </row>
    <row r="111" spans="1:8" ht="12.75">
      <c r="A111" s="19"/>
      <c r="B111" s="53"/>
      <c r="C111" s="53"/>
      <c r="D111" s="53"/>
      <c r="E111" s="53"/>
      <c r="F111" s="53"/>
      <c r="H111" s="36"/>
    </row>
    <row r="112" ht="12.75">
      <c r="H112" s="36"/>
    </row>
    <row r="113" spans="2:9" ht="12.75">
      <c r="B113" s="1"/>
      <c r="C113" s="1"/>
      <c r="D113" s="1"/>
      <c r="E113" s="92" t="s">
        <v>121</v>
      </c>
      <c r="F113" s="92"/>
      <c r="G113" s="92"/>
      <c r="H113" s="65"/>
      <c r="I113" s="1"/>
    </row>
    <row r="114" spans="2:9" ht="12.75">
      <c r="B114" s="2" t="s">
        <v>8</v>
      </c>
      <c r="C114" s="2" t="s">
        <v>20</v>
      </c>
      <c r="D114" s="2" t="s">
        <v>47</v>
      </c>
      <c r="E114" s="2" t="s">
        <v>108</v>
      </c>
      <c r="F114" s="2" t="s">
        <v>111</v>
      </c>
      <c r="G114" s="2" t="s">
        <v>112</v>
      </c>
      <c r="H114" s="1" t="s">
        <v>10</v>
      </c>
      <c r="I114" s="1"/>
    </row>
    <row r="115" spans="1:9" ht="12.75">
      <c r="A115" s="38" t="s">
        <v>71</v>
      </c>
      <c r="B115" s="18"/>
      <c r="C115" s="64"/>
      <c r="D115" s="50"/>
      <c r="E115" s="57"/>
      <c r="F115" s="57"/>
      <c r="H115">
        <v>0</v>
      </c>
      <c r="I115" s="57"/>
    </row>
    <row r="116" spans="1:9" ht="12.75">
      <c r="A116" s="38" t="s">
        <v>72</v>
      </c>
      <c r="B116" s="18">
        <f aca="true" t="shared" si="12" ref="B116:B124">C7</f>
        <v>0.008504605041361243</v>
      </c>
      <c r="C116" s="64">
        <f aca="true" t="shared" si="13" ref="C116:C124">F7</f>
        <v>20</v>
      </c>
      <c r="D116" s="50">
        <v>2.093</v>
      </c>
      <c r="E116" s="57">
        <f>D116*D7/SQRT(C116)</f>
        <v>0.0003656270507827347</v>
      </c>
      <c r="F116" s="18">
        <f>B116-E116</f>
        <v>0.008138977990578508</v>
      </c>
      <c r="G116" s="57">
        <f>B116+D116*D7/SQRT(C116)</f>
        <v>0.008870232092143977</v>
      </c>
      <c r="H116">
        <v>3.8</v>
      </c>
      <c r="I116" s="57"/>
    </row>
    <row r="117" spans="1:9" ht="12.75">
      <c r="A117" s="38" t="s">
        <v>73</v>
      </c>
      <c r="B117" s="18"/>
      <c r="C117" s="64"/>
      <c r="E117" s="57"/>
      <c r="G117" s="57"/>
      <c r="I117" s="57"/>
    </row>
    <row r="118" spans="1:9" ht="12.75">
      <c r="A118" s="38" t="s">
        <v>74</v>
      </c>
      <c r="B118" s="18"/>
      <c r="C118" s="64"/>
      <c r="E118" s="57"/>
      <c r="G118" s="57"/>
      <c r="I118" s="57"/>
    </row>
    <row r="119" spans="1:9" ht="12.75">
      <c r="A119" s="38" t="s">
        <v>75</v>
      </c>
      <c r="B119" s="18"/>
      <c r="C119" s="64"/>
      <c r="D119" s="50"/>
      <c r="E119" s="57"/>
      <c r="G119" s="57"/>
      <c r="H119">
        <v>0</v>
      </c>
      <c r="I119" s="57"/>
    </row>
    <row r="120" spans="1:9" ht="12.75">
      <c r="A120" s="38" t="s">
        <v>76</v>
      </c>
      <c r="B120" s="18">
        <f t="shared" si="12"/>
        <v>0.008344774597249083</v>
      </c>
      <c r="C120" s="64">
        <f t="shared" si="13"/>
        <v>20</v>
      </c>
      <c r="D120" s="50">
        <v>2.093</v>
      </c>
      <c r="E120" s="57">
        <f>D120*D11/SQRT(C120)</f>
        <v>0.0004711070582602151</v>
      </c>
      <c r="F120" s="18">
        <f>B120-E120</f>
        <v>0.007873667538988868</v>
      </c>
      <c r="G120" s="57">
        <f>B120+D120*D11/SQRT(C120)</f>
        <v>0.008815881655509297</v>
      </c>
      <c r="H120">
        <v>3.9</v>
      </c>
      <c r="I120" s="57"/>
    </row>
    <row r="121" spans="1:9" ht="12.75">
      <c r="A121" s="38" t="s">
        <v>77</v>
      </c>
      <c r="B121" s="18"/>
      <c r="C121" s="64"/>
      <c r="D121" s="50"/>
      <c r="E121" s="57"/>
      <c r="G121" s="57"/>
      <c r="H121">
        <v>0</v>
      </c>
      <c r="I121" s="57"/>
    </row>
    <row r="122" spans="1:9" ht="12.75">
      <c r="A122" s="38" t="s">
        <v>78</v>
      </c>
      <c r="B122" s="18">
        <f t="shared" si="12"/>
        <v>0.007652719825956677</v>
      </c>
      <c r="C122" s="64">
        <f t="shared" si="13"/>
        <v>30</v>
      </c>
      <c r="D122" s="50">
        <v>2.045</v>
      </c>
      <c r="E122" s="57">
        <f>D122*D13/SQRT(C122)</f>
        <v>0.0003055534829332712</v>
      </c>
      <c r="F122" s="18">
        <f>B122-E122</f>
        <v>0.007347166343023405</v>
      </c>
      <c r="G122" s="57">
        <f>B122+D122*D13/SQRT(C122)</f>
        <v>0.007958273308889948</v>
      </c>
      <c r="H122">
        <v>3.95</v>
      </c>
      <c r="I122" s="57"/>
    </row>
    <row r="123" spans="1:9" ht="12.75">
      <c r="A123" s="38" t="s">
        <v>79</v>
      </c>
      <c r="B123" s="18">
        <f t="shared" si="12"/>
        <v>0.005596919825088945</v>
      </c>
      <c r="C123" s="64">
        <f t="shared" si="13"/>
        <v>17</v>
      </c>
      <c r="D123" s="50">
        <v>2.12</v>
      </c>
      <c r="E123" s="57">
        <f>D123*D14/SQRT(C123)</f>
        <v>0.0004931947851041501</v>
      </c>
      <c r="F123" s="18">
        <f>B123-E123</f>
        <v>0.005103725039984795</v>
      </c>
      <c r="G123" s="57">
        <f>B123+D123*D14/SQRT(C123)</f>
        <v>0.006090114610193095</v>
      </c>
      <c r="H123">
        <v>0.8</v>
      </c>
      <c r="I123" s="57"/>
    </row>
    <row r="124" spans="1:9" ht="12.75">
      <c r="A124" s="38" t="s">
        <v>80</v>
      </c>
      <c r="B124" s="18">
        <f t="shared" si="12"/>
        <v>0.007063830537133464</v>
      </c>
      <c r="C124" s="64">
        <f t="shared" si="13"/>
        <v>18</v>
      </c>
      <c r="D124" s="50">
        <v>2.11</v>
      </c>
      <c r="E124" s="57">
        <f>D124*D15/SQRT(C124)</f>
        <v>0.0003733239786855079</v>
      </c>
      <c r="F124" s="18">
        <f>B124-E124</f>
        <v>0.006690506558447956</v>
      </c>
      <c r="G124" s="57">
        <f>B124+D124*D15/SQRT(C124)</f>
        <v>0.007437154515818971</v>
      </c>
      <c r="H124">
        <v>3.75</v>
      </c>
      <c r="I124" s="57"/>
    </row>
    <row r="125" spans="1:9" ht="12.75">
      <c r="A125" s="38" t="s">
        <v>105</v>
      </c>
      <c r="B125" s="18">
        <f>AVERAGE(B46:B49)</f>
        <v>0.005710003226319815</v>
      </c>
      <c r="C125" s="64">
        <v>4</v>
      </c>
      <c r="D125" s="50">
        <v>3.182</v>
      </c>
      <c r="E125" s="57">
        <f>D125*STDEV(B46:B49)/SQRT(C125)</f>
        <v>0.0009141165543300757</v>
      </c>
      <c r="F125" s="18">
        <f>B125-E125</f>
        <v>0.004795886671989739</v>
      </c>
      <c r="G125" s="57">
        <f>B125+D125*D16/SQRT(C125)</f>
        <v>0.005710003226319815</v>
      </c>
      <c r="H125">
        <v>-1</v>
      </c>
      <c r="I125" s="57"/>
    </row>
    <row r="126" spans="4:9" ht="12.75">
      <c r="D126" s="14"/>
      <c r="E126" s="57"/>
      <c r="F126" s="57"/>
      <c r="G126" s="57"/>
      <c r="H126" s="57"/>
      <c r="I126" s="57"/>
    </row>
    <row r="127" spans="5:9" ht="12.75">
      <c r="E127" s="57"/>
      <c r="F127" s="57"/>
      <c r="G127" s="57"/>
      <c r="H127" s="57"/>
      <c r="I127" s="57"/>
    </row>
    <row r="128" spans="5:9" ht="12.75">
      <c r="E128" s="57"/>
      <c r="F128" s="57"/>
      <c r="G128" s="57"/>
      <c r="H128" s="57"/>
      <c r="I128" s="57"/>
    </row>
    <row r="129" spans="5:9" ht="12.75">
      <c r="E129" s="57"/>
      <c r="F129" s="57"/>
      <c r="G129" s="57"/>
      <c r="H129" s="57"/>
      <c r="I129" s="57"/>
    </row>
    <row r="130" spans="4:9" ht="12.75">
      <c r="D130" s="14"/>
      <c r="E130" s="57"/>
      <c r="F130" s="57"/>
      <c r="G130" s="57"/>
      <c r="H130" s="57"/>
      <c r="I130" s="57"/>
    </row>
    <row r="131" spans="5:9" ht="12.75">
      <c r="E131" s="57"/>
      <c r="F131" s="57"/>
      <c r="G131" s="57"/>
      <c r="H131" s="57"/>
      <c r="I131" s="57"/>
    </row>
    <row r="132" spans="5:9" ht="12.75">
      <c r="E132" s="57"/>
      <c r="F132" s="57"/>
      <c r="G132" s="57"/>
      <c r="H132" s="57"/>
      <c r="I132" s="57"/>
    </row>
    <row r="133" spans="5:9" ht="12.75">
      <c r="E133" s="57"/>
      <c r="F133" s="57"/>
      <c r="G133" s="57"/>
      <c r="H133" s="57"/>
      <c r="I133" s="57"/>
    </row>
    <row r="134" spans="5:15" ht="12.75">
      <c r="E134" s="57"/>
      <c r="F134" s="57"/>
      <c r="G134" s="57"/>
      <c r="H134" s="57"/>
      <c r="I134" s="57"/>
      <c r="O134" t="s">
        <v>109</v>
      </c>
    </row>
    <row r="135" spans="5:9" ht="12.75">
      <c r="E135" s="57"/>
      <c r="F135" s="57"/>
      <c r="G135" s="57"/>
      <c r="H135" s="57"/>
      <c r="I135" s="57"/>
    </row>
    <row r="136" spans="4:9" ht="12.75">
      <c r="D136" s="14"/>
      <c r="E136" s="57"/>
      <c r="F136" s="57"/>
      <c r="G136" s="57"/>
      <c r="H136" s="57"/>
      <c r="I136" s="57"/>
    </row>
    <row r="137" spans="5:9" ht="12.75">
      <c r="E137" s="57"/>
      <c r="F137" s="57"/>
      <c r="G137" s="57"/>
      <c r="H137" s="57"/>
      <c r="I137" s="57"/>
    </row>
    <row r="138" spans="5:9" ht="12.75">
      <c r="E138" s="57"/>
      <c r="F138" s="57"/>
      <c r="G138" s="57"/>
      <c r="H138" s="57"/>
      <c r="I138" s="57"/>
    </row>
    <row r="139" spans="5:9" ht="12.75">
      <c r="E139" s="57"/>
      <c r="F139" s="57"/>
      <c r="G139" s="57"/>
      <c r="H139" s="57"/>
      <c r="I139" s="57"/>
    </row>
    <row r="142" ht="12.75">
      <c r="D142" s="14"/>
    </row>
    <row r="150" ht="12.75">
      <c r="H150" s="36"/>
    </row>
    <row r="151" ht="12.75">
      <c r="H151" s="36"/>
    </row>
    <row r="152" ht="12.75">
      <c r="H152" s="36"/>
    </row>
    <row r="153" ht="12.75">
      <c r="H153" s="36"/>
    </row>
    <row r="154" ht="12.75">
      <c r="H154" s="36"/>
    </row>
    <row r="155" ht="12.75">
      <c r="H155" s="36"/>
    </row>
    <row r="156" ht="12.75">
      <c r="H156" s="36"/>
    </row>
    <row r="157" ht="12.75">
      <c r="H157" s="36"/>
    </row>
    <row r="158" ht="12.75">
      <c r="H158" s="36"/>
    </row>
    <row r="159" ht="12.75">
      <c r="H159" s="36"/>
    </row>
    <row r="160" ht="12.75">
      <c r="H160" s="36"/>
    </row>
    <row r="161" ht="12.75">
      <c r="H161" s="36"/>
    </row>
    <row r="162" ht="12.75">
      <c r="H162" s="36"/>
    </row>
    <row r="163" ht="12.75">
      <c r="H163" s="36"/>
    </row>
    <row r="164" ht="12.75">
      <c r="H164" s="36"/>
    </row>
    <row r="165" ht="12.75">
      <c r="H165" s="36"/>
    </row>
    <row r="166" ht="12.75">
      <c r="H166" s="36"/>
    </row>
    <row r="167" ht="12.75">
      <c r="H167" s="36"/>
    </row>
    <row r="168" ht="12.75">
      <c r="H168" s="36"/>
    </row>
    <row r="169" ht="12.75">
      <c r="H169" s="36"/>
    </row>
    <row r="170" ht="12.75">
      <c r="H170" s="36"/>
    </row>
    <row r="171" ht="12.75">
      <c r="H171" s="36"/>
    </row>
    <row r="172" ht="12.75">
      <c r="H172" s="36"/>
    </row>
    <row r="173" ht="12.75">
      <c r="H173" s="36"/>
    </row>
    <row r="174" ht="12.75">
      <c r="H174" s="36"/>
    </row>
    <row r="175" ht="12.75">
      <c r="H175" s="36"/>
    </row>
    <row r="176" ht="12.75">
      <c r="H176" s="36"/>
    </row>
    <row r="177" ht="12.75">
      <c r="H177" s="36"/>
    </row>
    <row r="178" ht="12.75">
      <c r="H178" s="36"/>
    </row>
    <row r="179" ht="12.75">
      <c r="H179" s="36"/>
    </row>
    <row r="180" ht="12.75">
      <c r="H180" s="36"/>
    </row>
    <row r="181" ht="12.75">
      <c r="H181" s="36"/>
    </row>
    <row r="182" ht="12.75">
      <c r="H182" s="36"/>
    </row>
    <row r="183" ht="12.75">
      <c r="H183" s="36"/>
    </row>
    <row r="184" ht="12.75">
      <c r="H184" s="36"/>
    </row>
    <row r="185" ht="12.75">
      <c r="H185" s="36"/>
    </row>
    <row r="186" ht="12.75">
      <c r="H186" s="36"/>
    </row>
    <row r="187" ht="12.75">
      <c r="H187" s="36"/>
    </row>
    <row r="188" ht="12.75">
      <c r="H188" s="36"/>
    </row>
    <row r="189" ht="12.75">
      <c r="H189" s="36"/>
    </row>
    <row r="190" ht="12.75">
      <c r="H190" s="36"/>
    </row>
    <row r="191" ht="12.75">
      <c r="H191" s="36"/>
    </row>
    <row r="192" ht="12.75">
      <c r="H192" s="36"/>
    </row>
    <row r="193" ht="12.75">
      <c r="H193" s="36"/>
    </row>
    <row r="194" ht="12.75">
      <c r="H194" s="36"/>
    </row>
    <row r="195" ht="12.75">
      <c r="H195" s="36"/>
    </row>
    <row r="196" ht="12.75">
      <c r="H196" s="36"/>
    </row>
    <row r="197" ht="12.75">
      <c r="H197" s="36"/>
    </row>
    <row r="198" ht="12.75">
      <c r="H198" s="36"/>
    </row>
    <row r="199" ht="12.75">
      <c r="H199" s="36"/>
    </row>
    <row r="200" ht="12.75">
      <c r="H200" s="36"/>
    </row>
    <row r="201" ht="12.75">
      <c r="H201" s="36"/>
    </row>
    <row r="202" ht="12.75">
      <c r="H202" s="36"/>
    </row>
    <row r="203" ht="12.75">
      <c r="H203" s="36"/>
    </row>
    <row r="204" ht="12.75">
      <c r="H204" s="36"/>
    </row>
    <row r="205" ht="12.75">
      <c r="H205" s="36"/>
    </row>
    <row r="206" ht="12.75">
      <c r="H206" s="36"/>
    </row>
    <row r="207" ht="12.75">
      <c r="H207" s="36"/>
    </row>
    <row r="208" ht="12.75">
      <c r="H208" s="36"/>
    </row>
    <row r="209" ht="12.75">
      <c r="H209" s="36"/>
    </row>
    <row r="210" ht="12.75">
      <c r="H210" s="36"/>
    </row>
    <row r="211" ht="12.75">
      <c r="H211" s="36"/>
    </row>
    <row r="212" ht="12.75">
      <c r="H212" s="36"/>
    </row>
    <row r="213" ht="12.75">
      <c r="H213" s="36"/>
    </row>
    <row r="214" ht="12.75">
      <c r="H214" s="36"/>
    </row>
    <row r="215" ht="12.75">
      <c r="H215" s="36"/>
    </row>
    <row r="216" ht="12.75">
      <c r="H216" s="36"/>
    </row>
    <row r="217" ht="12.75">
      <c r="H217" s="36"/>
    </row>
    <row r="218" ht="12.75">
      <c r="H218" s="36"/>
    </row>
    <row r="219" ht="12.75">
      <c r="H219" s="36"/>
    </row>
    <row r="220" ht="12.75">
      <c r="H220" s="36"/>
    </row>
    <row r="221" ht="12.75">
      <c r="H221" s="36"/>
    </row>
    <row r="222" ht="12.75">
      <c r="H222" s="36"/>
    </row>
    <row r="223" ht="12.75">
      <c r="H223" s="36"/>
    </row>
    <row r="224" ht="12.75">
      <c r="H224" s="36"/>
    </row>
    <row r="225" ht="12.75">
      <c r="H225" s="36"/>
    </row>
    <row r="226" ht="12.75">
      <c r="H226" s="36"/>
    </row>
    <row r="227" ht="12.75">
      <c r="H227" s="36"/>
    </row>
    <row r="228" ht="12.75">
      <c r="H228" s="36"/>
    </row>
    <row r="229" ht="12.75">
      <c r="H229" s="36"/>
    </row>
    <row r="230" ht="12.75">
      <c r="H230" s="36"/>
    </row>
    <row r="231" ht="12.75">
      <c r="H231" s="36"/>
    </row>
    <row r="232" ht="12.75">
      <c r="H232" s="36"/>
    </row>
    <row r="233" ht="12.75">
      <c r="H233" s="36"/>
    </row>
    <row r="234" ht="12.75">
      <c r="H234" s="36"/>
    </row>
    <row r="235" ht="12.75">
      <c r="H235" s="36"/>
    </row>
    <row r="236" ht="12.75">
      <c r="H236" s="36"/>
    </row>
    <row r="237" ht="12.75">
      <c r="H237" s="36"/>
    </row>
    <row r="238" ht="12.75">
      <c r="H238" s="36"/>
    </row>
    <row r="239" ht="12.75">
      <c r="H239" s="36"/>
    </row>
    <row r="240" ht="12.75">
      <c r="H240" s="36"/>
    </row>
    <row r="241" ht="12.75">
      <c r="H241" s="36"/>
    </row>
    <row r="242" ht="12.75">
      <c r="H242" s="36"/>
    </row>
    <row r="243" ht="12.75">
      <c r="H243" s="36"/>
    </row>
    <row r="244" ht="12.75">
      <c r="H244" s="36"/>
    </row>
    <row r="245" ht="12.75">
      <c r="H245" s="36"/>
    </row>
    <row r="246" ht="12.75">
      <c r="H246" s="36"/>
    </row>
    <row r="247" ht="12.75">
      <c r="H247" s="36"/>
    </row>
    <row r="248" ht="12.75">
      <c r="H248" s="36"/>
    </row>
    <row r="249" ht="12.75">
      <c r="H249" s="36"/>
    </row>
    <row r="250" ht="12.75">
      <c r="H250" s="36"/>
    </row>
    <row r="251" ht="12.75">
      <c r="H251" s="36"/>
    </row>
    <row r="252" ht="12.75">
      <c r="H252" s="36"/>
    </row>
    <row r="253" ht="12.75">
      <c r="H253" s="36"/>
    </row>
    <row r="254" ht="12.75">
      <c r="H254" s="36"/>
    </row>
    <row r="255" ht="12.75">
      <c r="H255" s="36"/>
    </row>
    <row r="256" ht="12.75">
      <c r="H256" s="36"/>
    </row>
    <row r="257" ht="12.75">
      <c r="H257" s="36"/>
    </row>
    <row r="258" ht="12.75">
      <c r="H258" s="36"/>
    </row>
    <row r="259" ht="12.75">
      <c r="H259" s="36"/>
    </row>
    <row r="260" ht="12.75">
      <c r="H260" s="36"/>
    </row>
    <row r="261" ht="12.75">
      <c r="H261" s="36"/>
    </row>
    <row r="262" ht="12.75">
      <c r="H262" s="36"/>
    </row>
    <row r="263" ht="12.75">
      <c r="H263" s="36"/>
    </row>
    <row r="264" ht="12.75">
      <c r="H264" s="36"/>
    </row>
    <row r="265" ht="12.75">
      <c r="H265" s="36"/>
    </row>
    <row r="266" ht="12.75">
      <c r="H266" s="36"/>
    </row>
    <row r="267" ht="12.75">
      <c r="H267" s="36"/>
    </row>
    <row r="268" ht="12.75">
      <c r="H268" s="36"/>
    </row>
    <row r="269" ht="12.75">
      <c r="H269" s="36"/>
    </row>
    <row r="270" ht="12.75">
      <c r="H270" s="36"/>
    </row>
    <row r="271" ht="12.75">
      <c r="H271" s="36"/>
    </row>
    <row r="272" ht="12.75">
      <c r="H272" s="36"/>
    </row>
    <row r="273" ht="12.75">
      <c r="H273" s="36"/>
    </row>
    <row r="274" ht="12.75">
      <c r="H274" s="36"/>
    </row>
    <row r="275" ht="12.75">
      <c r="H275" s="36"/>
    </row>
    <row r="276" ht="12.75">
      <c r="H276" s="36"/>
    </row>
    <row r="277" ht="12.75">
      <c r="H277" s="36"/>
    </row>
    <row r="278" ht="12.75">
      <c r="H278" s="36"/>
    </row>
    <row r="279" ht="12.75">
      <c r="H279" s="36"/>
    </row>
    <row r="280" ht="12.75">
      <c r="H280" s="36"/>
    </row>
    <row r="281" ht="12.75">
      <c r="H281" s="36"/>
    </row>
    <row r="282" ht="12.75">
      <c r="H282" s="36"/>
    </row>
    <row r="283" ht="12.75">
      <c r="H283" s="36"/>
    </row>
    <row r="284" ht="12.75">
      <c r="H284" s="36"/>
    </row>
    <row r="285" ht="12.75">
      <c r="H285" s="36"/>
    </row>
    <row r="286" ht="12.75">
      <c r="H286" s="36"/>
    </row>
    <row r="287" ht="12.75">
      <c r="H287" s="36"/>
    </row>
    <row r="288" ht="12.75">
      <c r="H288" s="36"/>
    </row>
    <row r="289" ht="12.75">
      <c r="H289" s="36"/>
    </row>
    <row r="290" ht="12.75">
      <c r="H290" s="36"/>
    </row>
    <row r="291" ht="12.75">
      <c r="H291" s="36"/>
    </row>
    <row r="292" ht="12.75">
      <c r="H292" s="36"/>
    </row>
    <row r="293" ht="12.75">
      <c r="H293" s="36"/>
    </row>
    <row r="294" ht="12.75">
      <c r="H294" s="36"/>
    </row>
    <row r="295" ht="12.75">
      <c r="H295" s="36"/>
    </row>
    <row r="296" ht="12.75">
      <c r="H296" s="36"/>
    </row>
    <row r="297" ht="12.75">
      <c r="H297" s="36"/>
    </row>
    <row r="298" ht="12.75">
      <c r="H298" s="36"/>
    </row>
    <row r="299" ht="12.75">
      <c r="H299" s="36"/>
    </row>
    <row r="300" ht="12.75">
      <c r="H300" s="36"/>
    </row>
    <row r="301" ht="12.75">
      <c r="H301" s="36"/>
    </row>
    <row r="302" ht="12.75">
      <c r="H302" s="36"/>
    </row>
    <row r="303" ht="12.75">
      <c r="H303" s="36"/>
    </row>
    <row r="304" ht="12.75">
      <c r="H304" s="36"/>
    </row>
    <row r="305" ht="12.75">
      <c r="H305" s="36"/>
    </row>
    <row r="306" ht="12.75">
      <c r="H306" s="36"/>
    </row>
    <row r="307" ht="12.75">
      <c r="H307" s="36"/>
    </row>
    <row r="308" ht="12.75">
      <c r="H308" s="36"/>
    </row>
    <row r="309" ht="12.75">
      <c r="H309" s="36"/>
    </row>
    <row r="310" ht="12.75">
      <c r="H310" s="36"/>
    </row>
    <row r="311" ht="12.75">
      <c r="H311" s="36"/>
    </row>
    <row r="312" ht="12.75">
      <c r="H312" s="36"/>
    </row>
    <row r="313" ht="12.75">
      <c r="H313" s="36"/>
    </row>
    <row r="314" ht="12.75">
      <c r="H314" s="36"/>
    </row>
    <row r="315" ht="12.75">
      <c r="H315" s="36"/>
    </row>
    <row r="316" ht="12.75">
      <c r="H316" s="36"/>
    </row>
    <row r="317" ht="12.75">
      <c r="H317" s="36"/>
    </row>
    <row r="318" ht="12.75">
      <c r="H318" s="36"/>
    </row>
    <row r="319" ht="12.75">
      <c r="H319" s="36"/>
    </row>
    <row r="320" ht="12.75">
      <c r="H320" s="36"/>
    </row>
    <row r="321" ht="12.75">
      <c r="H321" s="36"/>
    </row>
    <row r="322" ht="12.75">
      <c r="H322" s="36"/>
    </row>
    <row r="323" ht="12.75">
      <c r="H323" s="36"/>
    </row>
    <row r="324" ht="12.75">
      <c r="H324" s="36"/>
    </row>
    <row r="325" ht="12.75">
      <c r="H325" s="36"/>
    </row>
    <row r="326" ht="12.75">
      <c r="H326" s="36"/>
    </row>
    <row r="327" ht="12.75">
      <c r="H327" s="36"/>
    </row>
    <row r="328" ht="12.75">
      <c r="H328" s="36"/>
    </row>
    <row r="329" ht="12.75">
      <c r="H329" s="36"/>
    </row>
    <row r="330" ht="12.75">
      <c r="H330" s="36"/>
    </row>
    <row r="331" ht="12.75">
      <c r="H331" s="36"/>
    </row>
    <row r="332" ht="12.75">
      <c r="H332" s="36"/>
    </row>
    <row r="333" ht="12.75">
      <c r="H333" s="36"/>
    </row>
    <row r="334" ht="12.75">
      <c r="H334" s="36"/>
    </row>
    <row r="335" ht="12.75">
      <c r="H335" s="36"/>
    </row>
    <row r="336" ht="12.75">
      <c r="H336" s="36"/>
    </row>
    <row r="337" ht="12.75">
      <c r="H337" s="36"/>
    </row>
    <row r="338" ht="12.75">
      <c r="H338" s="36"/>
    </row>
    <row r="339" ht="12.75">
      <c r="H339" s="36"/>
    </row>
    <row r="340" ht="12.75">
      <c r="H340" s="36"/>
    </row>
    <row r="341" ht="12.75">
      <c r="H341" s="36"/>
    </row>
    <row r="342" ht="12.75">
      <c r="H342" s="36"/>
    </row>
    <row r="343" ht="12.75">
      <c r="H343" s="36"/>
    </row>
    <row r="344" ht="12.75">
      <c r="H344" s="36"/>
    </row>
    <row r="345" ht="12.75">
      <c r="H345" s="36"/>
    </row>
    <row r="346" ht="12.75">
      <c r="H346" s="36"/>
    </row>
    <row r="347" ht="12.75">
      <c r="H347" s="36"/>
    </row>
    <row r="348" ht="12.75">
      <c r="H348" s="36"/>
    </row>
    <row r="349" ht="12.75">
      <c r="H349" s="36"/>
    </row>
    <row r="350" ht="12.75">
      <c r="H350" s="36"/>
    </row>
    <row r="351" ht="12.75">
      <c r="H351" s="36"/>
    </row>
    <row r="352" ht="12.75">
      <c r="H352" s="36"/>
    </row>
    <row r="353" ht="12.75">
      <c r="H353" s="36"/>
    </row>
    <row r="354" ht="12.75">
      <c r="H354" s="36"/>
    </row>
    <row r="355" ht="12.75">
      <c r="H355" s="36"/>
    </row>
    <row r="356" ht="12.75">
      <c r="H356" s="36"/>
    </row>
    <row r="357" ht="12.75">
      <c r="H357" s="36"/>
    </row>
    <row r="358" ht="12.75">
      <c r="H358" s="36"/>
    </row>
    <row r="359" ht="12.75">
      <c r="H359" s="36"/>
    </row>
    <row r="360" ht="12.75">
      <c r="H360" s="36"/>
    </row>
    <row r="361" ht="12.75">
      <c r="H361" s="36"/>
    </row>
    <row r="362" ht="12.75">
      <c r="H362" s="36"/>
    </row>
    <row r="363" ht="12.75">
      <c r="H363" s="36"/>
    </row>
    <row r="364" ht="12.75">
      <c r="H364" s="36"/>
    </row>
    <row r="365" ht="12.75">
      <c r="H365" s="36"/>
    </row>
    <row r="366" ht="12.75">
      <c r="H366" s="36"/>
    </row>
    <row r="367" ht="12.75">
      <c r="H367" s="36"/>
    </row>
    <row r="368" ht="12.75">
      <c r="H368" s="36"/>
    </row>
    <row r="369" ht="12.75">
      <c r="H369" s="36"/>
    </row>
    <row r="370" ht="12.75">
      <c r="H370" s="36"/>
    </row>
    <row r="371" ht="12.75">
      <c r="H371" s="36"/>
    </row>
    <row r="372" ht="12.75">
      <c r="H372" s="36"/>
    </row>
    <row r="373" ht="12.75">
      <c r="H373" s="36"/>
    </row>
    <row r="374" ht="12.75">
      <c r="H374" s="36"/>
    </row>
    <row r="375" ht="12.75">
      <c r="H375" s="36"/>
    </row>
    <row r="376" ht="12.75">
      <c r="H376" s="36"/>
    </row>
    <row r="377" ht="12.75">
      <c r="H377" s="36"/>
    </row>
    <row r="378" ht="12.75">
      <c r="H378" s="36"/>
    </row>
    <row r="379" ht="12.75">
      <c r="H379" s="36"/>
    </row>
    <row r="380" ht="12.75">
      <c r="H380" s="36"/>
    </row>
    <row r="381" ht="12.75">
      <c r="H381" s="36"/>
    </row>
    <row r="382" ht="12.75">
      <c r="H382" s="36"/>
    </row>
    <row r="383" ht="12.75">
      <c r="H383" s="36"/>
    </row>
    <row r="384" ht="12.75">
      <c r="H384" s="36"/>
    </row>
    <row r="385" ht="12.75">
      <c r="H385" s="36"/>
    </row>
    <row r="386" ht="12.75">
      <c r="H386" s="36"/>
    </row>
    <row r="387" ht="12.75">
      <c r="H387" s="36"/>
    </row>
    <row r="388" ht="12.75">
      <c r="H388" s="36"/>
    </row>
    <row r="389" ht="12.75">
      <c r="H389" s="36"/>
    </row>
    <row r="390" ht="12.75">
      <c r="H390" s="36"/>
    </row>
    <row r="391" ht="12.75">
      <c r="H391" s="36"/>
    </row>
    <row r="392" ht="12.75">
      <c r="H392" s="36"/>
    </row>
    <row r="393" ht="12.75">
      <c r="H393" s="36"/>
    </row>
    <row r="394" ht="12.75">
      <c r="H394" s="36"/>
    </row>
    <row r="395" ht="12.75">
      <c r="H395" s="36"/>
    </row>
    <row r="396" ht="12.75">
      <c r="H396" s="36"/>
    </row>
    <row r="397" ht="12.75">
      <c r="H397" s="36"/>
    </row>
    <row r="398" ht="12.75">
      <c r="H398" s="36"/>
    </row>
    <row r="399" ht="12.75">
      <c r="H399" s="36"/>
    </row>
    <row r="400" ht="12.75">
      <c r="H400" s="36"/>
    </row>
    <row r="401" ht="12.75">
      <c r="H401" s="36"/>
    </row>
    <row r="402" ht="12.75">
      <c r="H402" s="36"/>
    </row>
    <row r="403" ht="12.75">
      <c r="H403" s="36"/>
    </row>
    <row r="404" ht="12.75">
      <c r="H404" s="36"/>
    </row>
    <row r="405" ht="12.75">
      <c r="H405" s="36"/>
    </row>
    <row r="406" ht="12.75">
      <c r="H406" s="36"/>
    </row>
    <row r="407" ht="12.75">
      <c r="H407" s="36"/>
    </row>
    <row r="408" ht="12.75">
      <c r="H408" s="36"/>
    </row>
    <row r="409" ht="12.75">
      <c r="H409" s="36"/>
    </row>
    <row r="410" ht="12.75">
      <c r="H410" s="36"/>
    </row>
    <row r="411" ht="12.75">
      <c r="H411" s="36"/>
    </row>
    <row r="412" ht="12.75">
      <c r="H412" s="36"/>
    </row>
    <row r="413" ht="12.75">
      <c r="H413" s="36"/>
    </row>
    <row r="414" ht="12.75">
      <c r="H414" s="36"/>
    </row>
    <row r="415" ht="12.75">
      <c r="H415" s="36"/>
    </row>
    <row r="416" ht="12.75">
      <c r="H416" s="36"/>
    </row>
    <row r="417" ht="12.75">
      <c r="H417" s="36"/>
    </row>
    <row r="418" ht="12.75">
      <c r="H418" s="36"/>
    </row>
    <row r="419" ht="12.75">
      <c r="H419" s="36"/>
    </row>
    <row r="420" ht="12.75">
      <c r="H420" s="36"/>
    </row>
    <row r="421" ht="12.75">
      <c r="H421" s="36"/>
    </row>
    <row r="422" ht="12.75">
      <c r="H422" s="36"/>
    </row>
    <row r="423" ht="12.75">
      <c r="H423" s="36"/>
    </row>
    <row r="424" ht="12.75">
      <c r="H424" s="36"/>
    </row>
    <row r="425" ht="12.75">
      <c r="H425" s="36"/>
    </row>
    <row r="426" ht="12.75">
      <c r="H426" s="36"/>
    </row>
    <row r="427" ht="12.75">
      <c r="H427" s="36"/>
    </row>
    <row r="428" ht="12.75">
      <c r="H428" s="36"/>
    </row>
    <row r="429" ht="12.75">
      <c r="H429" s="36"/>
    </row>
    <row r="430" ht="12.75">
      <c r="H430" s="36"/>
    </row>
    <row r="431" ht="12.75">
      <c r="H431" s="36"/>
    </row>
    <row r="432" ht="12.75">
      <c r="H432" s="36"/>
    </row>
    <row r="433" ht="12.75">
      <c r="H433" s="36"/>
    </row>
    <row r="434" ht="12.75">
      <c r="H434" s="36"/>
    </row>
    <row r="435" ht="12.75">
      <c r="H435" s="36"/>
    </row>
    <row r="436" ht="12.75">
      <c r="H436" s="36"/>
    </row>
    <row r="437" ht="12.75">
      <c r="H437" s="36"/>
    </row>
    <row r="438" ht="12.75">
      <c r="H438" s="36"/>
    </row>
    <row r="439" ht="12.75">
      <c r="H439" s="36"/>
    </row>
    <row r="440" ht="12.75">
      <c r="H440" s="36"/>
    </row>
    <row r="441" ht="12.75">
      <c r="H441" s="36"/>
    </row>
    <row r="442" ht="12.75">
      <c r="H442" s="36"/>
    </row>
    <row r="443" ht="12.75">
      <c r="H443" s="36"/>
    </row>
    <row r="444" ht="12.75">
      <c r="H444" s="36"/>
    </row>
    <row r="445" ht="12.75">
      <c r="H445" s="36"/>
    </row>
    <row r="446" ht="12.75">
      <c r="H446" s="36"/>
    </row>
    <row r="447" ht="12.75">
      <c r="H447" s="36"/>
    </row>
    <row r="448" ht="12.75">
      <c r="H448" s="36"/>
    </row>
    <row r="449" ht="12.75">
      <c r="H449" s="36"/>
    </row>
    <row r="450" ht="12.75">
      <c r="H450" s="36"/>
    </row>
    <row r="451" ht="12.75">
      <c r="H451" s="36"/>
    </row>
    <row r="452" ht="12.75">
      <c r="H452" s="36"/>
    </row>
    <row r="453" ht="12.75">
      <c r="H453" s="36"/>
    </row>
    <row r="454" ht="12.75">
      <c r="H454" s="36"/>
    </row>
    <row r="455" ht="12.75">
      <c r="H455" s="36"/>
    </row>
    <row r="456" ht="12.75">
      <c r="H456" s="36"/>
    </row>
    <row r="457" ht="12.75">
      <c r="H457" s="36"/>
    </row>
    <row r="458" ht="12.75">
      <c r="H458" s="36"/>
    </row>
    <row r="459" ht="12.75">
      <c r="H459" s="36"/>
    </row>
    <row r="460" ht="12.75">
      <c r="H460" s="36"/>
    </row>
    <row r="461" ht="12.75">
      <c r="H461" s="36"/>
    </row>
    <row r="462" ht="12.75">
      <c r="H462" s="36"/>
    </row>
    <row r="463" ht="12.75">
      <c r="H463" s="36"/>
    </row>
    <row r="464" ht="12.75">
      <c r="H464" s="36"/>
    </row>
    <row r="465" ht="12.75">
      <c r="H465" s="36"/>
    </row>
    <row r="466" ht="12.75">
      <c r="H466" s="36"/>
    </row>
    <row r="467" ht="12.75">
      <c r="H467" s="36"/>
    </row>
    <row r="468" ht="12.75">
      <c r="H468" s="36"/>
    </row>
    <row r="469" ht="12.75">
      <c r="H469" s="36"/>
    </row>
    <row r="470" ht="12.75">
      <c r="H470" s="36"/>
    </row>
    <row r="471" ht="12.75">
      <c r="H471" s="36"/>
    </row>
    <row r="472" ht="12.75">
      <c r="H472" s="36"/>
    </row>
    <row r="473" ht="12.75">
      <c r="H473" s="36"/>
    </row>
    <row r="474" ht="12.75">
      <c r="H474" s="36"/>
    </row>
    <row r="475" ht="12.75">
      <c r="H475" s="36"/>
    </row>
    <row r="476" ht="12.75">
      <c r="H476" s="36"/>
    </row>
    <row r="477" ht="12.75">
      <c r="H477" s="36"/>
    </row>
    <row r="478" ht="12.75">
      <c r="H478" s="36"/>
    </row>
    <row r="479" ht="12.75">
      <c r="H479" s="36"/>
    </row>
    <row r="480" ht="12.75">
      <c r="H480" s="36"/>
    </row>
    <row r="481" ht="12.75">
      <c r="H481" s="36"/>
    </row>
    <row r="482" ht="12.75">
      <c r="H482" s="36"/>
    </row>
    <row r="483" ht="12.75">
      <c r="H483" s="36"/>
    </row>
    <row r="484" ht="12.75">
      <c r="H484" s="36"/>
    </row>
    <row r="485" ht="12.75">
      <c r="H485" s="36"/>
    </row>
    <row r="486" ht="12.75">
      <c r="H486" s="36"/>
    </row>
    <row r="487" ht="12.75">
      <c r="H487" s="36"/>
    </row>
    <row r="488" ht="12.75">
      <c r="H488" s="36"/>
    </row>
    <row r="489" ht="12.75">
      <c r="H489" s="36"/>
    </row>
    <row r="490" ht="12.75">
      <c r="H490" s="36"/>
    </row>
    <row r="491" ht="12.75">
      <c r="H491" s="36"/>
    </row>
    <row r="492" ht="12.75">
      <c r="H492" s="36"/>
    </row>
    <row r="493" ht="12.75">
      <c r="H493" s="36"/>
    </row>
    <row r="494" ht="12.75">
      <c r="H494" s="36"/>
    </row>
    <row r="495" ht="12.75">
      <c r="H495" s="36"/>
    </row>
    <row r="496" ht="12.75">
      <c r="H496" s="36"/>
    </row>
    <row r="497" ht="12.75">
      <c r="H497" s="36"/>
    </row>
    <row r="498" ht="12.75">
      <c r="H498" s="36"/>
    </row>
    <row r="499" ht="12.75">
      <c r="H499" s="36"/>
    </row>
    <row r="500" ht="12.75">
      <c r="H500" s="36"/>
    </row>
    <row r="501" ht="12.75">
      <c r="H501" s="36"/>
    </row>
    <row r="502" ht="12.75">
      <c r="H502" s="36"/>
    </row>
    <row r="503" ht="12.75">
      <c r="H503" s="36"/>
    </row>
    <row r="504" ht="12.75">
      <c r="H504" s="36"/>
    </row>
    <row r="505" ht="12.75">
      <c r="H505" s="36"/>
    </row>
    <row r="506" ht="12.75">
      <c r="H506" s="36"/>
    </row>
    <row r="507" ht="12.75">
      <c r="H507" s="36"/>
    </row>
    <row r="508" ht="12.75">
      <c r="H508" s="36"/>
    </row>
    <row r="509" ht="12.75">
      <c r="H509" s="36"/>
    </row>
    <row r="510" ht="12.75">
      <c r="H510" s="36"/>
    </row>
    <row r="511" ht="12.75">
      <c r="H511" s="36"/>
    </row>
    <row r="512" ht="12.75">
      <c r="H512" s="36"/>
    </row>
    <row r="513" ht="12.75">
      <c r="H513" s="36"/>
    </row>
    <row r="514" ht="12.75">
      <c r="H514" s="36"/>
    </row>
    <row r="515" ht="12.75">
      <c r="H515" s="36"/>
    </row>
    <row r="516" ht="12.75">
      <c r="H516" s="36"/>
    </row>
    <row r="517" ht="12.75">
      <c r="H517" s="36"/>
    </row>
    <row r="518" ht="12.75">
      <c r="H518" s="36"/>
    </row>
    <row r="519" ht="12.75">
      <c r="H519" s="36"/>
    </row>
    <row r="520" ht="12.75">
      <c r="H520" s="36"/>
    </row>
    <row r="521" ht="12.75">
      <c r="H521" s="36"/>
    </row>
    <row r="522" ht="12.75">
      <c r="H522" s="36"/>
    </row>
    <row r="523" ht="12.75">
      <c r="H523" s="36"/>
    </row>
    <row r="524" ht="12.75">
      <c r="H524" s="36"/>
    </row>
    <row r="525" ht="12.75">
      <c r="H525" s="36"/>
    </row>
    <row r="526" ht="12.75">
      <c r="H526" s="36"/>
    </row>
    <row r="527" ht="12.75">
      <c r="H527" s="36"/>
    </row>
    <row r="528" ht="12.75">
      <c r="H528" s="36"/>
    </row>
    <row r="529" ht="12.75">
      <c r="H529" s="36"/>
    </row>
    <row r="530" ht="12.75">
      <c r="H530" s="36"/>
    </row>
    <row r="531" ht="12.75">
      <c r="H531" s="36"/>
    </row>
    <row r="532" ht="12.75">
      <c r="H532" s="36"/>
    </row>
    <row r="533" ht="12.75">
      <c r="H533" s="36"/>
    </row>
    <row r="534" ht="12.75">
      <c r="H534" s="36"/>
    </row>
    <row r="535" ht="12.75">
      <c r="H535" s="36"/>
    </row>
    <row r="536" ht="12.75">
      <c r="H536" s="36"/>
    </row>
    <row r="537" ht="12.75">
      <c r="H537" s="36"/>
    </row>
    <row r="538" ht="12.75">
      <c r="H538" s="36"/>
    </row>
    <row r="539" ht="12.75">
      <c r="H539" s="36"/>
    </row>
    <row r="540" ht="12.75">
      <c r="H540" s="36"/>
    </row>
    <row r="541" ht="12.75">
      <c r="H541" s="36"/>
    </row>
    <row r="542" ht="12.75">
      <c r="H542" s="36"/>
    </row>
    <row r="543" ht="12.75">
      <c r="H543" s="36"/>
    </row>
    <row r="544" ht="12.75">
      <c r="H544" s="36"/>
    </row>
    <row r="545" ht="12.75">
      <c r="H545" s="36"/>
    </row>
    <row r="546" ht="12.75">
      <c r="H546" s="36"/>
    </row>
    <row r="547" ht="12.75">
      <c r="H547" s="36"/>
    </row>
    <row r="548" ht="12.75">
      <c r="H548" s="36"/>
    </row>
    <row r="549" ht="12.75">
      <c r="H549" s="36"/>
    </row>
    <row r="550" ht="12.75">
      <c r="H550" s="36"/>
    </row>
    <row r="551" ht="12.75">
      <c r="H551" s="36"/>
    </row>
    <row r="552" ht="12.75">
      <c r="H552" s="36"/>
    </row>
    <row r="553" ht="12.75">
      <c r="H553" s="36"/>
    </row>
    <row r="554" ht="12.75">
      <c r="H554" s="36"/>
    </row>
    <row r="555" ht="12.75">
      <c r="H555" s="36"/>
    </row>
    <row r="556" ht="12.75">
      <c r="H556" s="36"/>
    </row>
    <row r="557" ht="12.75">
      <c r="H557" s="36"/>
    </row>
    <row r="558" ht="12.75">
      <c r="H558" s="36"/>
    </row>
    <row r="559" ht="12.75">
      <c r="H559" s="36"/>
    </row>
    <row r="560" ht="12.75">
      <c r="H560" s="36"/>
    </row>
    <row r="561" ht="12.75">
      <c r="H561" s="36"/>
    </row>
    <row r="562" ht="12.75">
      <c r="H562" s="36"/>
    </row>
    <row r="563" ht="12.75">
      <c r="H563" s="36"/>
    </row>
    <row r="564" ht="12.75">
      <c r="H564" s="36"/>
    </row>
    <row r="565" ht="12.75">
      <c r="H565" s="36"/>
    </row>
    <row r="566" ht="12.75">
      <c r="H566" s="36"/>
    </row>
    <row r="567" ht="12.75">
      <c r="H567" s="36"/>
    </row>
    <row r="568" ht="12.75">
      <c r="H568" s="36"/>
    </row>
    <row r="569" ht="12.75">
      <c r="H569" s="36"/>
    </row>
    <row r="570" ht="12.75">
      <c r="H570" s="36"/>
    </row>
    <row r="571" ht="12.75">
      <c r="H571" s="36"/>
    </row>
    <row r="572" ht="12.75">
      <c r="H572" s="36"/>
    </row>
    <row r="573" ht="12.75">
      <c r="H573" s="36"/>
    </row>
    <row r="574" ht="12.75">
      <c r="H574" s="36"/>
    </row>
    <row r="575" ht="12.75">
      <c r="H575" s="36"/>
    </row>
    <row r="576" ht="12.75">
      <c r="H576" s="36"/>
    </row>
    <row r="577" ht="12.75">
      <c r="H577" s="36"/>
    </row>
    <row r="578" ht="12.75">
      <c r="H578" s="36"/>
    </row>
    <row r="579" ht="12.75">
      <c r="H579" s="36"/>
    </row>
    <row r="580" ht="12.75">
      <c r="H580" s="36"/>
    </row>
    <row r="581" ht="12.75">
      <c r="H581" s="36"/>
    </row>
    <row r="582" ht="12.75">
      <c r="H582" s="36"/>
    </row>
    <row r="583" ht="12.75">
      <c r="H583" s="36"/>
    </row>
    <row r="584" ht="12.75">
      <c r="H584" s="36"/>
    </row>
    <row r="585" ht="12.75">
      <c r="H585" s="36"/>
    </row>
    <row r="586" ht="12.75">
      <c r="H586" s="36"/>
    </row>
    <row r="587" ht="12.75">
      <c r="H587" s="36"/>
    </row>
    <row r="588" ht="12.75">
      <c r="H588" s="36"/>
    </row>
    <row r="589" ht="12.75">
      <c r="H589" s="36"/>
    </row>
    <row r="590" ht="12.75">
      <c r="H590" s="36"/>
    </row>
    <row r="591" ht="12.75">
      <c r="H591" s="36"/>
    </row>
    <row r="592" ht="12.75">
      <c r="H592" s="36"/>
    </row>
    <row r="593" ht="12.75">
      <c r="H593" s="36"/>
    </row>
    <row r="594" ht="12.75">
      <c r="H594" s="36"/>
    </row>
    <row r="595" ht="12.75">
      <c r="H595" s="36"/>
    </row>
    <row r="596" ht="12.75">
      <c r="H596" s="36"/>
    </row>
    <row r="597" ht="12.75">
      <c r="H597" s="36"/>
    </row>
    <row r="598" ht="12.75">
      <c r="H598" s="36"/>
    </row>
    <row r="599" ht="12.75">
      <c r="H599" s="36"/>
    </row>
    <row r="600" ht="12.75">
      <c r="H600" s="36"/>
    </row>
    <row r="601" ht="12.75">
      <c r="H601" s="36"/>
    </row>
    <row r="602" ht="12.75">
      <c r="H602" s="36"/>
    </row>
    <row r="603" ht="12.75">
      <c r="H603" s="36"/>
    </row>
    <row r="604" ht="12.75">
      <c r="H604" s="36"/>
    </row>
    <row r="605" ht="12.75">
      <c r="H605" s="36"/>
    </row>
    <row r="606" ht="12.75">
      <c r="H606" s="36"/>
    </row>
  </sheetData>
  <mergeCells count="7">
    <mergeCell ref="I4:L4"/>
    <mergeCell ref="H61:L61"/>
    <mergeCell ref="M61:Q61"/>
    <mergeCell ref="E113:G113"/>
    <mergeCell ref="N78:P81"/>
    <mergeCell ref="G18:H18"/>
    <mergeCell ref="I53:L56"/>
  </mergeCells>
  <printOptions/>
  <pageMargins left="0.75" right="0.75" top="1" bottom="0.66" header="0.5" footer="0.5"/>
  <pageSetup horizontalDpi="300" verticalDpi="300" orientation="portrait" scale="40" r:id="rId2"/>
  <headerFooter alignWithMargins="0">
    <oddHeader>&amp;L&amp;F&amp;C&amp;A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Bormann</cp:lastModifiedBy>
  <cp:lastPrinted>2001-07-10T20:14:21Z</cp:lastPrinted>
  <dcterms:created xsi:type="dcterms:W3CDTF">1996-10-14T23:33:28Z</dcterms:created>
  <dcterms:modified xsi:type="dcterms:W3CDTF">2001-08-27T21:51:16Z</dcterms:modified>
  <cp:category/>
  <cp:version/>
  <cp:contentType/>
  <cp:contentStatus/>
</cp:coreProperties>
</file>